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Kerjaan Verifikasi\JURNAL UPLOAD\ANNUAL REPORT\"/>
    </mc:Choice>
  </mc:AlternateContent>
  <xr:revisionPtr revIDLastSave="0" documentId="13_ncr:1_{54155739-2E8D-4A18-B0A8-CF12B7C5A2E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  <sheet name="EPS" sheetId="4" r:id="rId2"/>
    <sheet name="MVA PER SHARE" sheetId="5" r:id="rId3"/>
    <sheet name="VAIC" sheetId="2" r:id="rId4"/>
    <sheet name="RO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43" i="1" l="1"/>
  <c r="X19" i="1" l="1"/>
  <c r="X44" i="1"/>
  <c r="X43" i="1"/>
  <c r="Y43" i="1"/>
  <c r="Z43" i="1"/>
  <c r="Y44" i="1"/>
  <c r="Z44" i="1"/>
  <c r="X45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X42" i="1"/>
  <c r="Y42" i="1"/>
  <c r="Z42" i="1"/>
  <c r="W44" i="1"/>
  <c r="W45" i="1"/>
  <c r="W46" i="1"/>
  <c r="W47" i="1"/>
  <c r="W48" i="1"/>
  <c r="W49" i="1"/>
  <c r="W42" i="1"/>
  <c r="E25" i="1" l="1"/>
  <c r="E24" i="1"/>
  <c r="E13" i="1"/>
  <c r="E23" i="1"/>
  <c r="E22" i="1"/>
  <c r="E21" i="1"/>
  <c r="E20" i="1"/>
  <c r="E19" i="1"/>
  <c r="E18" i="1"/>
  <c r="D25" i="1"/>
  <c r="D24" i="1"/>
  <c r="D11" i="1"/>
  <c r="D23" i="1"/>
  <c r="D10" i="1"/>
  <c r="D22" i="1"/>
  <c r="D13" i="1"/>
  <c r="D12" i="1"/>
  <c r="Z19" i="1"/>
  <c r="Z20" i="1"/>
  <c r="Z21" i="1"/>
  <c r="Z22" i="1"/>
  <c r="Z23" i="1"/>
  <c r="Z24" i="1"/>
  <c r="Z25" i="1"/>
  <c r="Y19" i="1"/>
  <c r="Y20" i="1"/>
  <c r="Y21" i="1"/>
  <c r="Y22" i="1"/>
  <c r="Y23" i="1"/>
  <c r="Y24" i="1"/>
  <c r="Y25" i="1"/>
  <c r="Z18" i="1"/>
  <c r="Y18" i="1"/>
  <c r="D21" i="1"/>
  <c r="D20" i="1"/>
  <c r="D19" i="1"/>
  <c r="D18" i="1"/>
  <c r="D6" i="1"/>
  <c r="C25" i="1"/>
  <c r="C24" i="1"/>
  <c r="C13" i="1"/>
  <c r="C12" i="1"/>
  <c r="X23" i="1"/>
  <c r="X18" i="1"/>
  <c r="X20" i="1"/>
  <c r="X21" i="1"/>
  <c r="X22" i="1"/>
  <c r="X24" i="1"/>
  <c r="X25" i="1"/>
  <c r="W19" i="1"/>
  <c r="W20" i="1"/>
  <c r="W21" i="1"/>
  <c r="W22" i="1"/>
  <c r="W23" i="1"/>
  <c r="W24" i="1"/>
  <c r="W25" i="1"/>
  <c r="W18" i="1"/>
  <c r="C23" i="1"/>
  <c r="C22" i="1"/>
  <c r="C11" i="1"/>
  <c r="C10" i="1"/>
  <c r="Z7" i="1" l="1"/>
  <c r="Z8" i="1"/>
  <c r="Z9" i="1"/>
  <c r="Z10" i="1"/>
  <c r="Z11" i="1"/>
  <c r="Z12" i="1"/>
  <c r="Z13" i="1"/>
  <c r="Y7" i="1"/>
  <c r="Y8" i="1"/>
  <c r="Y9" i="1"/>
  <c r="Y10" i="1"/>
  <c r="Y11" i="1"/>
  <c r="Y12" i="1"/>
  <c r="Y13" i="1"/>
  <c r="Y6" i="1"/>
  <c r="X7" i="1"/>
  <c r="X8" i="1"/>
  <c r="X9" i="1"/>
  <c r="X10" i="1"/>
  <c r="X11" i="1"/>
  <c r="X12" i="1"/>
  <c r="X13" i="1"/>
  <c r="X6" i="1"/>
  <c r="Z6" i="1"/>
  <c r="W7" i="1"/>
  <c r="W8" i="1"/>
  <c r="W9" i="1"/>
  <c r="W10" i="1"/>
  <c r="W11" i="1"/>
  <c r="W12" i="1"/>
  <c r="W13" i="1"/>
  <c r="W6" i="1"/>
  <c r="C21" i="1"/>
  <c r="C20" i="1"/>
  <c r="C9" i="1"/>
  <c r="C8" i="1"/>
  <c r="C19" i="1"/>
  <c r="C18" i="1"/>
  <c r="C7" i="1"/>
  <c r="C6" i="1"/>
  <c r="B25" i="1"/>
  <c r="B13" i="1"/>
  <c r="B24" i="1"/>
  <c r="B23" i="1"/>
  <c r="B12" i="1"/>
  <c r="B11" i="1"/>
  <c r="B22" i="1"/>
  <c r="B21" i="1"/>
  <c r="B10" i="1"/>
  <c r="B9" i="1"/>
  <c r="B20" i="1"/>
  <c r="B8" i="1"/>
  <c r="E31" i="1" l="1"/>
  <c r="S31" i="1" s="1"/>
  <c r="E32" i="1"/>
  <c r="S32" i="1" s="1"/>
  <c r="E33" i="1"/>
  <c r="S33" i="1" s="1"/>
  <c r="E34" i="1"/>
  <c r="S34" i="1" s="1"/>
  <c r="E35" i="1"/>
  <c r="S35" i="1" s="1"/>
  <c r="E36" i="1"/>
  <c r="L12" i="1" s="1"/>
  <c r="S24" i="1" s="1"/>
  <c r="E37" i="1"/>
  <c r="S13" i="1" s="1"/>
  <c r="E30" i="1"/>
  <c r="S30" i="1" s="1"/>
  <c r="D31" i="1"/>
  <c r="R7" i="1" s="1"/>
  <c r="D32" i="1"/>
  <c r="K8" i="1" s="1"/>
  <c r="R20" i="1" s="1"/>
  <c r="D33" i="1"/>
  <c r="R33" i="1" s="1"/>
  <c r="D34" i="1"/>
  <c r="R34" i="1" s="1"/>
  <c r="D35" i="1"/>
  <c r="R11" i="1" s="1"/>
  <c r="D36" i="1"/>
  <c r="K12" i="1" s="1"/>
  <c r="R24" i="1" s="1"/>
  <c r="D37" i="1"/>
  <c r="R37" i="1" s="1"/>
  <c r="D30" i="1"/>
  <c r="R6" i="1" s="1"/>
  <c r="C31" i="1"/>
  <c r="Q31" i="1" s="1"/>
  <c r="C32" i="1"/>
  <c r="Q32" i="1" s="1"/>
  <c r="C33" i="1"/>
  <c r="Q33" i="1" s="1"/>
  <c r="C34" i="1"/>
  <c r="J10" i="1" s="1"/>
  <c r="Q22" i="1" s="1"/>
  <c r="C35" i="1"/>
  <c r="Q11" i="1" s="1"/>
  <c r="C36" i="1"/>
  <c r="J12" i="1" s="1"/>
  <c r="Q24" i="1" s="1"/>
  <c r="C37" i="1"/>
  <c r="Q37" i="1" s="1"/>
  <c r="C30" i="1"/>
  <c r="J6" i="1" s="1"/>
  <c r="Q18" i="1" s="1"/>
  <c r="B32" i="1"/>
  <c r="P32" i="1" s="1"/>
  <c r="B33" i="1"/>
  <c r="I9" i="1" s="1"/>
  <c r="P21" i="1" s="1"/>
  <c r="B34" i="1"/>
  <c r="P34" i="1" s="1"/>
  <c r="B35" i="1"/>
  <c r="I11" i="1" s="1"/>
  <c r="P23" i="1" s="1"/>
  <c r="B36" i="1"/>
  <c r="P12" i="1" s="1"/>
  <c r="B37" i="1"/>
  <c r="P13" i="1" s="1"/>
  <c r="B19" i="1"/>
  <c r="B18" i="1"/>
  <c r="B7" i="1"/>
  <c r="B6" i="1"/>
  <c r="B31" i="1" l="1"/>
  <c r="I7" i="1" s="1"/>
  <c r="P19" i="1" s="1"/>
  <c r="B30" i="1"/>
  <c r="P30" i="1" s="1"/>
  <c r="L10" i="1"/>
  <c r="S22" i="1" s="1"/>
  <c r="P31" i="1"/>
  <c r="P7" i="1"/>
  <c r="I12" i="1"/>
  <c r="P24" i="1" s="1"/>
  <c r="L13" i="1"/>
  <c r="S25" i="1" s="1"/>
  <c r="S37" i="1"/>
  <c r="S11" i="1"/>
  <c r="L11" i="1"/>
  <c r="S23" i="1" s="1"/>
  <c r="S10" i="1"/>
  <c r="S46" i="1" s="1"/>
  <c r="L9" i="1"/>
  <c r="S21" i="1" s="1"/>
  <c r="S9" i="1"/>
  <c r="S45" i="1" s="1"/>
  <c r="S8" i="1"/>
  <c r="L8" i="1"/>
  <c r="S20" i="1" s="1"/>
  <c r="S7" i="1"/>
  <c r="L7" i="1"/>
  <c r="S19" i="1" s="1"/>
  <c r="L6" i="1"/>
  <c r="S18" i="1" s="1"/>
  <c r="S6" i="1"/>
  <c r="R13" i="1"/>
  <c r="K13" i="1"/>
  <c r="R25" i="1" s="1"/>
  <c r="S12" i="1"/>
  <c r="S36" i="1"/>
  <c r="R36" i="1"/>
  <c r="R12" i="1"/>
  <c r="K11" i="1"/>
  <c r="R23" i="1" s="1"/>
  <c r="R35" i="1"/>
  <c r="R10" i="1"/>
  <c r="K10" i="1"/>
  <c r="R22" i="1" s="1"/>
  <c r="K9" i="1"/>
  <c r="R21" i="1" s="1"/>
  <c r="R9" i="1"/>
  <c r="R32" i="1"/>
  <c r="R8" i="1"/>
  <c r="K7" i="1"/>
  <c r="R19" i="1" s="1"/>
  <c r="R31" i="1"/>
  <c r="R30" i="1"/>
  <c r="K6" i="1"/>
  <c r="R18" i="1" s="1"/>
  <c r="J13" i="1"/>
  <c r="Q25" i="1" s="1"/>
  <c r="Q13" i="1"/>
  <c r="Q12" i="1"/>
  <c r="Q36" i="1"/>
  <c r="Q48" i="1" s="1"/>
  <c r="Q35" i="1"/>
  <c r="J11" i="1"/>
  <c r="Q23" i="1" s="1"/>
  <c r="Q34" i="1"/>
  <c r="Q10" i="1"/>
  <c r="Q46" i="1" s="1"/>
  <c r="J8" i="1"/>
  <c r="Q20" i="1" s="1"/>
  <c r="Q9" i="1"/>
  <c r="J9" i="1"/>
  <c r="Q21" i="1" s="1"/>
  <c r="Q8" i="1"/>
  <c r="Q6" i="1"/>
  <c r="J7" i="1"/>
  <c r="Q19" i="1" s="1"/>
  <c r="Q7" i="1"/>
  <c r="Q30" i="1"/>
  <c r="I13" i="1"/>
  <c r="P25" i="1" s="1"/>
  <c r="P37" i="1"/>
  <c r="P36" i="1"/>
  <c r="P35" i="1"/>
  <c r="P11" i="1"/>
  <c r="I10" i="1"/>
  <c r="P22" i="1" s="1"/>
  <c r="P10" i="1"/>
  <c r="P9" i="1"/>
  <c r="P33" i="1"/>
  <c r="P8" i="1"/>
  <c r="I8" i="1"/>
  <c r="P20" i="1" s="1"/>
  <c r="I6" i="1" l="1"/>
  <c r="P18" i="1" s="1"/>
  <c r="P6" i="1"/>
  <c r="P46" i="1"/>
  <c r="P45" i="1"/>
  <c r="P48" i="1"/>
  <c r="P43" i="1"/>
  <c r="Q49" i="1"/>
  <c r="S42" i="1"/>
  <c r="R45" i="1"/>
  <c r="Q42" i="1"/>
  <c r="Q44" i="1"/>
  <c r="Q43" i="1"/>
  <c r="R49" i="1"/>
  <c r="P42" i="1"/>
  <c r="S49" i="1"/>
  <c r="S47" i="1"/>
  <c r="S44" i="1"/>
  <c r="S43" i="1"/>
  <c r="S48" i="1"/>
  <c r="R48" i="1"/>
  <c r="R46" i="1"/>
  <c r="R47" i="1"/>
  <c r="R44" i="1"/>
  <c r="R43" i="1"/>
  <c r="R42" i="1"/>
  <c r="Q47" i="1"/>
  <c r="Q45" i="1"/>
  <c r="P49" i="1"/>
  <c r="P47" i="1"/>
  <c r="P44" i="1"/>
</calcChain>
</file>

<file path=xl/sharedStrings.xml><?xml version="1.0" encoding="utf-8"?>
<sst xmlns="http://schemas.openxmlformats.org/spreadsheetml/2006/main" count="81" uniqueCount="21">
  <si>
    <t>TLKM</t>
  </si>
  <si>
    <t>ISAT</t>
  </si>
  <si>
    <t>EXCL</t>
  </si>
  <si>
    <t>FREN</t>
  </si>
  <si>
    <t>TOTAL REVENUE + OTHER INCOME (OUT)</t>
  </si>
  <si>
    <t>ALL EXPENSE OTHER THAN EMPLOYEE COST (IN)</t>
  </si>
  <si>
    <t>HUMAN CAPITAL (EMPLOYEE COST) HC</t>
  </si>
  <si>
    <t>STRUCTURAL CAPITAL (VA-HC)</t>
  </si>
  <si>
    <t>CAPITAL EMPLOYED (EQUITY)</t>
  </si>
  <si>
    <t>NET PROFIT</t>
  </si>
  <si>
    <t>SHARE OUTSTANDING</t>
  </si>
  <si>
    <t>VA (OUT - IN)</t>
  </si>
  <si>
    <t>VAHU (VA/HC)</t>
  </si>
  <si>
    <t>STVA (SC/VA)</t>
  </si>
  <si>
    <t>VACA (VA/CE)</t>
  </si>
  <si>
    <t>VAIC</t>
  </si>
  <si>
    <t>DALAM MILIARAN</t>
  </si>
  <si>
    <t>ROE</t>
  </si>
  <si>
    <t>EPS</t>
  </si>
  <si>
    <t>CLOSING PRICE</t>
  </si>
  <si>
    <t>MARKET VALUE ADDED (MVA)/SHARE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</si>
</sst>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41" fontId="0" fillId="0" borderId="0" xfId="1" applyFont="1"/>
    <xf numFmtId="41" fontId="0" fillId="0" borderId="0" xfId="0" applyNumberFormat="1"/>
    <xf numFmtId="164" fontId="0" fillId="0" borderId="0" xfId="0" applyNumberFormat="1"/>
    <xf numFmtId="2" fontId="0" fillId="0" borderId="0" xfId="0" applyNumberFormat="1"/>
    <xf numFmtId="41" fontId="0" fillId="0" borderId="0" xfId="1" applyFont="1" applyBorder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"/>
  <sheetViews>
    <sheetView tabSelected="1" topLeftCell="A21" zoomScale="85" zoomScaleNormal="85" workbookViewId="0">
      <selection activeCell="H30" sqref="H30:H37"/>
    </sheetView>
  </sheetViews>
  <sheetFormatPr defaultRowHeight="15" x14ac:dyDescent="0.25"/>
  <cols>
    <col min="2" max="2" width="11.5703125" customWidth="1"/>
    <col min="3" max="3" width="11" customWidth="1"/>
    <col min="4" max="4" width="10.7109375" customWidth="1"/>
    <col min="5" max="5" width="10" customWidth="1"/>
    <col min="9" max="9" width="17.85546875" bestFit="1" customWidth="1"/>
    <col min="10" max="10" width="14.28515625" bestFit="1" customWidth="1"/>
    <col min="11" max="11" width="15.28515625" bestFit="1" customWidth="1"/>
    <col min="12" max="12" width="16.28515625" bestFit="1" customWidth="1"/>
    <col min="23" max="23" width="12.140625" customWidth="1"/>
    <col min="24" max="24" width="11.42578125" customWidth="1"/>
    <col min="25" max="25" width="13.28515625" customWidth="1"/>
    <col min="26" max="26" width="12.140625" customWidth="1"/>
  </cols>
  <sheetData>
    <row r="1" spans="1:26" x14ac:dyDescent="0.25">
      <c r="B1" t="s">
        <v>16</v>
      </c>
    </row>
    <row r="4" spans="1:26" x14ac:dyDescent="0.25">
      <c r="B4" s="7" t="s">
        <v>4</v>
      </c>
      <c r="C4" s="7"/>
      <c r="D4" s="7"/>
      <c r="E4" s="7"/>
      <c r="I4" s="7" t="s">
        <v>7</v>
      </c>
      <c r="J4" s="7"/>
      <c r="K4" s="7"/>
      <c r="L4" s="7"/>
      <c r="P4" s="7" t="s">
        <v>12</v>
      </c>
      <c r="Q4" s="7"/>
      <c r="R4" s="7"/>
      <c r="S4" s="7"/>
      <c r="W4" s="7" t="s">
        <v>17</v>
      </c>
      <c r="X4" s="7"/>
      <c r="Y4" s="7"/>
      <c r="Z4" s="7"/>
    </row>
    <row r="5" spans="1:26" x14ac:dyDescent="0.25">
      <c r="B5" t="s">
        <v>0</v>
      </c>
      <c r="C5" t="s">
        <v>1</v>
      </c>
      <c r="D5" t="s">
        <v>2</v>
      </c>
      <c r="E5" t="s">
        <v>3</v>
      </c>
      <c r="I5" t="s">
        <v>0</v>
      </c>
      <c r="J5" t="s">
        <v>1</v>
      </c>
      <c r="K5" t="s">
        <v>2</v>
      </c>
      <c r="L5" t="s">
        <v>3</v>
      </c>
      <c r="P5" t="s">
        <v>0</v>
      </c>
      <c r="Q5" t="s">
        <v>1</v>
      </c>
      <c r="R5" t="s">
        <v>2</v>
      </c>
      <c r="S5" t="s">
        <v>3</v>
      </c>
      <c r="W5" t="s">
        <v>0</v>
      </c>
      <c r="X5" t="s">
        <v>1</v>
      </c>
      <c r="Y5" t="s">
        <v>2</v>
      </c>
      <c r="Z5" t="s">
        <v>3</v>
      </c>
    </row>
    <row r="6" spans="1:26" x14ac:dyDescent="0.25">
      <c r="A6">
        <v>2011</v>
      </c>
      <c r="B6" s="1">
        <f>71253+665</f>
        <v>71918</v>
      </c>
      <c r="C6" s="1">
        <f>20529+90</f>
        <v>20619</v>
      </c>
      <c r="D6" s="1">
        <f>18260</f>
        <v>18260</v>
      </c>
      <c r="E6" s="1">
        <v>954</v>
      </c>
      <c r="H6">
        <v>2011</v>
      </c>
      <c r="I6" s="2">
        <f>B30-B42</f>
        <v>21958</v>
      </c>
      <c r="J6" s="2">
        <f>C30-C42</f>
        <v>3255</v>
      </c>
      <c r="K6" s="2">
        <f>D30-D42</f>
        <v>4444</v>
      </c>
      <c r="L6" s="2">
        <f>E30-E42</f>
        <v>-2221</v>
      </c>
      <c r="O6">
        <v>2011</v>
      </c>
      <c r="P6" s="3">
        <f>B30/B42</f>
        <v>3.5666861484511982</v>
      </c>
      <c r="Q6" s="3">
        <f>C30/C42</f>
        <v>2.7024058577405858</v>
      </c>
      <c r="R6" s="3">
        <f>D30/D42</f>
        <v>4.7064220183486238</v>
      </c>
      <c r="S6" s="3">
        <f>E30/E42</f>
        <v>-5.5710059171597637</v>
      </c>
      <c r="V6">
        <v>2011</v>
      </c>
      <c r="W6" s="3">
        <f>I30/I18</f>
        <v>0.25368557419524113</v>
      </c>
      <c r="X6" s="3">
        <f t="shared" ref="X6:Z13" si="0">J30/J18</f>
        <v>5.619695292319047E-2</v>
      </c>
      <c r="Y6" s="3">
        <f>K30/K18</f>
        <v>0.20669003797838154</v>
      </c>
      <c r="Z6" s="3">
        <f t="shared" si="0"/>
        <v>-0.73439412484700117</v>
      </c>
    </row>
    <row r="7" spans="1:26" x14ac:dyDescent="0.25">
      <c r="A7">
        <v>2012</v>
      </c>
      <c r="B7" s="1">
        <f>77143+2559</f>
        <v>79702</v>
      </c>
      <c r="C7" s="1">
        <f>22418+1183+44</f>
        <v>23645</v>
      </c>
      <c r="D7" s="1">
        <v>20969</v>
      </c>
      <c r="E7" s="1">
        <v>1649</v>
      </c>
      <c r="H7">
        <v>2012</v>
      </c>
      <c r="I7" s="2">
        <f t="shared" ref="I7:I13" si="1">B31-B43</f>
        <v>25698</v>
      </c>
      <c r="J7" s="2">
        <f t="shared" ref="J7:J13" si="2">C31-C43</f>
        <v>4417</v>
      </c>
      <c r="K7" s="2">
        <f t="shared" ref="K7:K13" si="3">D31-D43</f>
        <v>4352</v>
      </c>
      <c r="L7" s="2">
        <f t="shared" ref="L7:L13" si="4">E31-E43</f>
        <v>-1602</v>
      </c>
      <c r="O7">
        <v>2012</v>
      </c>
      <c r="P7" s="3">
        <f t="shared" ref="P7:P13" si="5">B31/B43</f>
        <v>3.625996321275291</v>
      </c>
      <c r="Q7" s="3">
        <f t="shared" ref="Q7:Q13" si="6">C31/C43</f>
        <v>4.095304835318851</v>
      </c>
      <c r="R7" s="3">
        <f t="shared" ref="R7:R13" si="7">D31/D43</f>
        <v>5.6248671625929862</v>
      </c>
      <c r="S7" s="3">
        <f t="shared" ref="S7:S13" si="8">E31/E43</f>
        <v>-4.2871287128712874</v>
      </c>
      <c r="V7">
        <v>2012</v>
      </c>
      <c r="W7" s="3">
        <f t="shared" ref="W7:W13" si="9">I31/I19</f>
        <v>0.27414972080384603</v>
      </c>
      <c r="X7" s="3">
        <f t="shared" si="0"/>
        <v>2.5109564320701213E-2</v>
      </c>
      <c r="Y7" s="3">
        <f t="shared" ref="Y7:Y13" si="10">K31/K19</f>
        <v>0.17983083929733246</v>
      </c>
      <c r="Z7" s="3">
        <f t="shared" si="0"/>
        <v>-0.3136035313001605</v>
      </c>
    </row>
    <row r="8" spans="1:26" x14ac:dyDescent="0.25">
      <c r="A8">
        <v>2013</v>
      </c>
      <c r="B8" s="1">
        <f>82967+2579</f>
        <v>85546</v>
      </c>
      <c r="C8" s="1">
        <f>23855+224+141</f>
        <v>24220</v>
      </c>
      <c r="D8" s="1">
        <v>21265</v>
      </c>
      <c r="E8" s="1">
        <v>2428</v>
      </c>
      <c r="H8">
        <v>2013</v>
      </c>
      <c r="I8" s="2">
        <f t="shared" si="1"/>
        <v>27846</v>
      </c>
      <c r="J8" s="2">
        <f t="shared" si="2"/>
        <v>1874</v>
      </c>
      <c r="K8" s="2">
        <f t="shared" si="3"/>
        <v>1659</v>
      </c>
      <c r="L8" s="2">
        <f t="shared" si="4"/>
        <v>-1611</v>
      </c>
      <c r="O8">
        <v>2013</v>
      </c>
      <c r="P8" s="3">
        <f t="shared" si="5"/>
        <v>3.8609883900133566</v>
      </c>
      <c r="Q8" s="3">
        <f t="shared" si="6"/>
        <v>2.085118702953098</v>
      </c>
      <c r="R8" s="3">
        <f t="shared" si="7"/>
        <v>2.7705442902881536</v>
      </c>
      <c r="S8" s="3">
        <f t="shared" si="8"/>
        <v>-3.3540540540540542</v>
      </c>
      <c r="V8">
        <v>2013</v>
      </c>
      <c r="W8" s="3">
        <f t="shared" si="9"/>
        <v>0.26206344286009509</v>
      </c>
      <c r="X8" s="3">
        <f t="shared" si="0"/>
        <v>-0.16140945692317007</v>
      </c>
      <c r="Y8" s="3">
        <f t="shared" si="10"/>
        <v>6.7450980392156856E-2</v>
      </c>
      <c r="Z8" s="3">
        <f t="shared" si="0"/>
        <v>-0.8310921613643818</v>
      </c>
    </row>
    <row r="9" spans="1:26" x14ac:dyDescent="0.25">
      <c r="A9">
        <v>2014</v>
      </c>
      <c r="B9" s="1">
        <f>89696+1074</f>
        <v>90770</v>
      </c>
      <c r="C9" s="1">
        <f>24085+413+141</f>
        <v>24639</v>
      </c>
      <c r="D9" s="1">
        <v>23460</v>
      </c>
      <c r="E9" s="1">
        <v>2954</v>
      </c>
      <c r="H9">
        <v>2014</v>
      </c>
      <c r="I9" s="2">
        <f t="shared" si="1"/>
        <v>29206</v>
      </c>
      <c r="J9" s="2">
        <f t="shared" si="2"/>
        <v>1227</v>
      </c>
      <c r="K9" s="2">
        <f t="shared" si="3"/>
        <v>429</v>
      </c>
      <c r="L9" s="2">
        <f t="shared" si="4"/>
        <v>-968</v>
      </c>
      <c r="O9">
        <v>2014</v>
      </c>
      <c r="P9" s="3">
        <f t="shared" si="5"/>
        <v>3.9841626647593746</v>
      </c>
      <c r="Q9" s="3">
        <f t="shared" si="6"/>
        <v>1.7167056074766356</v>
      </c>
      <c r="R9" s="3">
        <f t="shared" si="7"/>
        <v>1.3701466781708369</v>
      </c>
      <c r="S9" s="3">
        <f t="shared" si="8"/>
        <v>-1.554089709762533</v>
      </c>
      <c r="V9">
        <v>2014</v>
      </c>
      <c r="W9" s="3">
        <f t="shared" si="9"/>
        <v>0.2473951065215369</v>
      </c>
      <c r="X9" s="3">
        <f t="shared" si="0"/>
        <v>-0.13089115885875308</v>
      </c>
      <c r="Y9" s="3">
        <f t="shared" si="10"/>
        <v>-6.3825214899713462E-2</v>
      </c>
      <c r="Z9" s="3">
        <f t="shared" si="0"/>
        <v>-0.3481444079777834</v>
      </c>
    </row>
    <row r="10" spans="1:26" x14ac:dyDescent="0.25">
      <c r="A10">
        <v>2015</v>
      </c>
      <c r="B10" s="1">
        <f>102470+1500</f>
        <v>103970</v>
      </c>
      <c r="C10" s="1">
        <f>26768+141</f>
        <v>26909</v>
      </c>
      <c r="D10" s="1">
        <f>22876+2035+21</f>
        <v>24932</v>
      </c>
      <c r="E10" s="1">
        <v>3025</v>
      </c>
      <c r="H10">
        <v>2015</v>
      </c>
      <c r="I10" s="2">
        <f t="shared" si="1"/>
        <v>32418</v>
      </c>
      <c r="J10" s="2">
        <f t="shared" si="2"/>
        <v>2503</v>
      </c>
      <c r="K10" s="2">
        <f t="shared" si="3"/>
        <v>3140</v>
      </c>
      <c r="L10" s="2">
        <f t="shared" si="4"/>
        <v>-1331</v>
      </c>
      <c r="O10">
        <v>2015</v>
      </c>
      <c r="P10" s="3">
        <f t="shared" si="5"/>
        <v>3.7301667508842851</v>
      </c>
      <c r="Q10" s="3">
        <f t="shared" si="6"/>
        <v>2.3029672045809475</v>
      </c>
      <c r="R10" s="3">
        <f t="shared" si="7"/>
        <v>3.8833792470156108</v>
      </c>
      <c r="S10" s="3">
        <f t="shared" si="8"/>
        <v>-2.3275000000000001</v>
      </c>
      <c r="V10">
        <v>2015</v>
      </c>
      <c r="W10" s="3">
        <f t="shared" si="9"/>
        <v>0.24957186282484908</v>
      </c>
      <c r="X10" s="3">
        <f t="shared" si="0"/>
        <v>-8.768755183593456E-2</v>
      </c>
      <c r="Y10" s="3">
        <f t="shared" si="10"/>
        <v>-1.7741821020509545E-3</v>
      </c>
      <c r="Z10" s="3">
        <f t="shared" si="0"/>
        <v>-0.22853387850467291</v>
      </c>
    </row>
    <row r="11" spans="1:26" x14ac:dyDescent="0.25">
      <c r="A11">
        <v>2016</v>
      </c>
      <c r="B11" s="1">
        <f>116333+750</f>
        <v>117083</v>
      </c>
      <c r="C11" s="1">
        <f>29184+141</f>
        <v>29325</v>
      </c>
      <c r="D11" s="1">
        <f>21341+64+1721</f>
        <v>23126</v>
      </c>
      <c r="E11" s="1">
        <v>3637</v>
      </c>
      <c r="H11">
        <v>2016</v>
      </c>
      <c r="I11" s="2">
        <f t="shared" si="1"/>
        <v>39195</v>
      </c>
      <c r="J11" s="2">
        <f t="shared" si="2"/>
        <v>4081</v>
      </c>
      <c r="K11" s="2">
        <f t="shared" si="3"/>
        <v>1687</v>
      </c>
      <c r="L11" s="2">
        <f t="shared" si="4"/>
        <v>-1982</v>
      </c>
      <c r="O11">
        <v>2016</v>
      </c>
      <c r="P11" s="3">
        <f t="shared" si="5"/>
        <v>3.8794446076990892</v>
      </c>
      <c r="Q11" s="3">
        <f t="shared" si="6"/>
        <v>2.9304635761589406</v>
      </c>
      <c r="R11" s="3">
        <f t="shared" si="7"/>
        <v>2.4593425605536332</v>
      </c>
      <c r="S11" s="3">
        <f t="shared" si="8"/>
        <v>-3.020283975659229</v>
      </c>
      <c r="V11">
        <v>2016</v>
      </c>
      <c r="W11" s="3">
        <f t="shared" si="9"/>
        <v>0.27639657394072614</v>
      </c>
      <c r="X11" s="3">
        <f t="shared" si="0"/>
        <v>8.9934400790011998E-2</v>
      </c>
      <c r="Y11" s="3">
        <f t="shared" si="10"/>
        <v>1.7681173086897071E-2</v>
      </c>
      <c r="Z11" s="3">
        <f t="shared" si="0"/>
        <v>-0.33634349974441985</v>
      </c>
    </row>
    <row r="12" spans="1:26" x14ac:dyDescent="0.25">
      <c r="A12">
        <v>2017</v>
      </c>
      <c r="B12" s="1">
        <f>128256+51+1039</f>
        <v>129346</v>
      </c>
      <c r="C12" s="1">
        <f>29926+141+60+20</f>
        <v>30147</v>
      </c>
      <c r="D12" s="1">
        <f>22875+9+422</f>
        <v>23306</v>
      </c>
      <c r="E12" s="1">
        <v>4668</v>
      </c>
      <c r="H12">
        <v>2017</v>
      </c>
      <c r="I12" s="2">
        <f t="shared" si="1"/>
        <v>43933</v>
      </c>
      <c r="J12" s="2">
        <f t="shared" si="2"/>
        <v>4254</v>
      </c>
      <c r="K12" s="2">
        <f t="shared" si="3"/>
        <v>1658</v>
      </c>
      <c r="L12" s="2">
        <f t="shared" si="4"/>
        <v>-2253</v>
      </c>
      <c r="O12">
        <v>2017</v>
      </c>
      <c r="P12" s="3">
        <f t="shared" si="5"/>
        <v>4.2473205706260622</v>
      </c>
      <c r="Q12" s="3">
        <f t="shared" si="6"/>
        <v>3.1038575667655786</v>
      </c>
      <c r="R12" s="3">
        <f t="shared" si="7"/>
        <v>2.2272390821613621</v>
      </c>
      <c r="S12" s="3">
        <f t="shared" si="8"/>
        <v>-3.3662790697674421</v>
      </c>
      <c r="V12">
        <v>2017</v>
      </c>
      <c r="W12" s="3">
        <f t="shared" si="9"/>
        <v>0.2916347097119415</v>
      </c>
      <c r="X12" s="3">
        <f t="shared" si="0"/>
        <v>8.7816402294971313E-2</v>
      </c>
      <c r="Y12" s="3">
        <f t="shared" si="10"/>
        <v>1.7337031900138695E-2</v>
      </c>
      <c r="Z12" s="3">
        <f t="shared" si="0"/>
        <v>-0.32691475551709215</v>
      </c>
    </row>
    <row r="13" spans="1:26" x14ac:dyDescent="0.25">
      <c r="A13">
        <v>2018</v>
      </c>
      <c r="B13" s="1">
        <f>130784+68+1752</f>
        <v>132604</v>
      </c>
      <c r="C13" s="1">
        <f>23139+924+141+117+126</f>
        <v>24447</v>
      </c>
      <c r="D13" s="1">
        <f>22938+422+16</f>
        <v>23376</v>
      </c>
      <c r="E13" s="1">
        <f>5490</f>
        <v>5490</v>
      </c>
      <c r="H13">
        <v>2018</v>
      </c>
      <c r="I13" s="2">
        <f t="shared" si="1"/>
        <v>38845</v>
      </c>
      <c r="J13" s="2">
        <f t="shared" si="2"/>
        <v>843</v>
      </c>
      <c r="K13" s="2">
        <f t="shared" si="3"/>
        <v>-2772</v>
      </c>
      <c r="L13" s="2">
        <f t="shared" si="4"/>
        <v>-2646</v>
      </c>
      <c r="O13">
        <v>2018</v>
      </c>
      <c r="P13" s="3">
        <f t="shared" si="5"/>
        <v>3.947715890119897</v>
      </c>
      <c r="Q13" s="3">
        <f t="shared" si="6"/>
        <v>1.3766756032171581</v>
      </c>
      <c r="R13" s="3">
        <f t="shared" si="7"/>
        <v>-1.6730954676952747</v>
      </c>
      <c r="S13" s="3">
        <f t="shared" si="8"/>
        <v>-3.7934782608695654</v>
      </c>
      <c r="V13">
        <v>2018</v>
      </c>
      <c r="W13" s="3">
        <f t="shared" si="9"/>
        <v>0.22999411779749879</v>
      </c>
      <c r="X13" s="3">
        <f t="shared" si="0"/>
        <v>-0.17180290046143704</v>
      </c>
      <c r="Y13" s="3">
        <f t="shared" si="10"/>
        <v>-0.17968707408820803</v>
      </c>
      <c r="Z13" s="3">
        <f t="shared" si="0"/>
        <v>-0.28534704370179947</v>
      </c>
    </row>
    <row r="14" spans="1:26" x14ac:dyDescent="0.25">
      <c r="W14" s="3"/>
      <c r="X14" s="3"/>
      <c r="Y14" s="3"/>
      <c r="Z14" s="3"/>
    </row>
    <row r="15" spans="1:26" x14ac:dyDescent="0.25">
      <c r="W15" s="3"/>
      <c r="X15" s="3"/>
      <c r="Y15" s="3"/>
      <c r="Z15" s="3"/>
    </row>
    <row r="16" spans="1:26" x14ac:dyDescent="0.25">
      <c r="B16" s="7" t="s">
        <v>5</v>
      </c>
      <c r="C16" s="7"/>
      <c r="D16" s="7"/>
      <c r="E16" s="7"/>
      <c r="I16" s="7" t="s">
        <v>8</v>
      </c>
      <c r="J16" s="7"/>
      <c r="K16" s="7"/>
      <c r="L16" s="7"/>
      <c r="P16" s="7" t="s">
        <v>13</v>
      </c>
      <c r="Q16" s="7"/>
      <c r="R16" s="7"/>
      <c r="S16" s="7"/>
      <c r="W16" s="8" t="s">
        <v>18</v>
      </c>
      <c r="X16" s="8"/>
      <c r="Y16" s="8"/>
      <c r="Z16" s="8"/>
    </row>
    <row r="17" spans="1:26" x14ac:dyDescent="0.25">
      <c r="B17" t="s">
        <v>0</v>
      </c>
      <c r="C17" t="s">
        <v>1</v>
      </c>
      <c r="D17" t="s">
        <v>2</v>
      </c>
      <c r="E17" t="s">
        <v>3</v>
      </c>
      <c r="I17" t="s">
        <v>0</v>
      </c>
      <c r="J17" t="s">
        <v>1</v>
      </c>
      <c r="K17" t="s">
        <v>2</v>
      </c>
      <c r="L17" t="s">
        <v>3</v>
      </c>
      <c r="P17" t="s">
        <v>0</v>
      </c>
      <c r="Q17" t="s">
        <v>1</v>
      </c>
      <c r="R17" t="s">
        <v>2</v>
      </c>
      <c r="S17" t="s">
        <v>3</v>
      </c>
      <c r="W17" s="3" t="s">
        <v>0</v>
      </c>
      <c r="X17" s="3" t="s">
        <v>1</v>
      </c>
      <c r="Y17" s="3" t="s">
        <v>2</v>
      </c>
      <c r="Z17" s="3" t="s">
        <v>3</v>
      </c>
    </row>
    <row r="18" spans="1:26" x14ac:dyDescent="0.25">
      <c r="A18">
        <v>2011</v>
      </c>
      <c r="B18" s="1">
        <f>16372+14863+3555+3278+2935+210+192</f>
        <v>41405</v>
      </c>
      <c r="C18" s="1">
        <f>17364-1912</f>
        <v>15452</v>
      </c>
      <c r="D18" s="1">
        <f>13816-1199</f>
        <v>12617</v>
      </c>
      <c r="E18" s="1">
        <f>3175-338</f>
        <v>2837</v>
      </c>
      <c r="H18">
        <v>2011</v>
      </c>
      <c r="I18" s="1">
        <v>60981</v>
      </c>
      <c r="J18" s="1">
        <v>18969</v>
      </c>
      <c r="K18" s="1">
        <v>13692</v>
      </c>
      <c r="L18" s="1">
        <v>3268</v>
      </c>
      <c r="O18">
        <v>2011</v>
      </c>
      <c r="P18" s="3">
        <f>I6/B30</f>
        <v>0.71962769966899354</v>
      </c>
      <c r="Q18" s="3">
        <f>J6/C30</f>
        <v>0.629959357460809</v>
      </c>
      <c r="R18" s="3">
        <f>K6/D30</f>
        <v>0.78752436647173485</v>
      </c>
      <c r="S18" s="3">
        <f>L6/E30</f>
        <v>1.1795007966011684</v>
      </c>
      <c r="V18">
        <v>2011</v>
      </c>
      <c r="W18" s="3">
        <f>(I30*1000000000)/I42</f>
        <v>159.59691765056758</v>
      </c>
      <c r="X18" s="3">
        <f>(J30*1000000000)/J42</f>
        <v>196.17464954254592</v>
      </c>
      <c r="Y18" s="3">
        <f>(K30*1000000000)/K42</f>
        <v>332.21552661615175</v>
      </c>
      <c r="Z18" s="3">
        <f>(L30*1000000000)/L42</f>
        <v>-20.229435514459833</v>
      </c>
    </row>
    <row r="19" spans="1:26" x14ac:dyDescent="0.25">
      <c r="A19">
        <v>2012</v>
      </c>
      <c r="B19" s="1">
        <f>16803+14456+4667+3094+3036+189+1973</f>
        <v>44218</v>
      </c>
      <c r="C19" s="1">
        <f>19228-1427</f>
        <v>17801</v>
      </c>
      <c r="D19" s="1">
        <f>16617-941</f>
        <v>15676</v>
      </c>
      <c r="E19" s="1">
        <f>3251-303</f>
        <v>2948</v>
      </c>
      <c r="H19">
        <v>2012</v>
      </c>
      <c r="I19" s="1">
        <v>66978</v>
      </c>
      <c r="J19" s="1">
        <v>19395</v>
      </c>
      <c r="K19" s="1">
        <v>15370</v>
      </c>
      <c r="L19" s="1">
        <v>4984</v>
      </c>
      <c r="O19">
        <v>2012</v>
      </c>
      <c r="P19" s="3">
        <f t="shared" ref="P19:P24" si="11">I7/B31</f>
        <v>0.72421373013189039</v>
      </c>
      <c r="Q19" s="3">
        <f t="shared" ref="Q19:Q25" si="12">J7/C31</f>
        <v>0.75581793292265576</v>
      </c>
      <c r="R19" s="3">
        <f t="shared" ref="R19:R24" si="13">K7/D31</f>
        <v>0.82221802380502551</v>
      </c>
      <c r="S19" s="3">
        <f t="shared" ref="S19:S25" si="14">L7/E31</f>
        <v>1.2332563510392609</v>
      </c>
      <c r="V19">
        <v>2012</v>
      </c>
      <c r="W19" s="3">
        <f t="shared" ref="W19:X25" si="15">(I31*1000000000)/I43</f>
        <v>191.7795603807329</v>
      </c>
      <c r="X19" s="3">
        <f>(J31*1000000000)/J43</f>
        <v>89.622002183133091</v>
      </c>
      <c r="Y19" s="3">
        <f t="shared" ref="Y19:Y25" si="16">(K31*1000000000)/K43</f>
        <v>324.17432908921609</v>
      </c>
      <c r="Z19" s="3">
        <f t="shared" ref="Z19:Z25" si="17">(L31*1000000000)/L43</f>
        <v>-87.829366701798094</v>
      </c>
    </row>
    <row r="20" spans="1:26" x14ac:dyDescent="0.25">
      <c r="A20">
        <v>2013</v>
      </c>
      <c r="B20" s="1">
        <f>19332+15780+4927+4155+3044+249+480</f>
        <v>47967</v>
      </c>
      <c r="C20" s="1">
        <f>22346-1727</f>
        <v>20619</v>
      </c>
      <c r="D20" s="1">
        <f>19606-937</f>
        <v>18669</v>
      </c>
      <c r="E20" s="1">
        <f>4039-370</f>
        <v>3669</v>
      </c>
      <c r="H20">
        <v>2013</v>
      </c>
      <c r="I20" s="1">
        <v>77424</v>
      </c>
      <c r="J20" s="1">
        <v>16517</v>
      </c>
      <c r="K20" s="1">
        <v>15300</v>
      </c>
      <c r="L20" s="1">
        <v>3049</v>
      </c>
      <c r="O20">
        <v>2013</v>
      </c>
      <c r="P20" s="3">
        <f t="shared" si="11"/>
        <v>0.74099896218632744</v>
      </c>
      <c r="Q20" s="3">
        <f t="shared" si="12"/>
        <v>0.52041099694529303</v>
      </c>
      <c r="R20" s="3">
        <f t="shared" si="13"/>
        <v>0.63906009244992301</v>
      </c>
      <c r="S20" s="3">
        <f t="shared" si="14"/>
        <v>1.2981466559226431</v>
      </c>
      <c r="V20">
        <v>2013</v>
      </c>
      <c r="W20" s="3">
        <f t="shared" si="15"/>
        <v>208.95799828478542</v>
      </c>
      <c r="X20" s="3">
        <f t="shared" si="15"/>
        <v>-490.62065260828092</v>
      </c>
      <c r="Y20" s="3">
        <f t="shared" si="16"/>
        <v>120.92110007107938</v>
      </c>
      <c r="Z20" s="3">
        <f t="shared" si="17"/>
        <v>-142.39258811411156</v>
      </c>
    </row>
    <row r="21" spans="1:26" x14ac:dyDescent="0.25">
      <c r="A21">
        <v>2014</v>
      </c>
      <c r="B21" s="1">
        <f>22288+17131+4893+3963+3092+14+396</f>
        <v>51777</v>
      </c>
      <c r="C21" s="1">
        <f>23412-1712</f>
        <v>21700</v>
      </c>
      <c r="D21" s="1">
        <f>23031-1159</f>
        <v>21872</v>
      </c>
      <c r="E21" s="1">
        <f>3922-379</f>
        <v>3543</v>
      </c>
      <c r="H21">
        <v>2014</v>
      </c>
      <c r="I21" s="1">
        <v>85992</v>
      </c>
      <c r="J21" s="1">
        <v>14195</v>
      </c>
      <c r="K21" s="1">
        <v>13960</v>
      </c>
      <c r="L21" s="1">
        <v>3961</v>
      </c>
      <c r="O21">
        <v>2014</v>
      </c>
      <c r="P21" s="3">
        <f t="shared" si="11"/>
        <v>0.74900623188777471</v>
      </c>
      <c r="Q21" s="3">
        <f t="shared" si="12"/>
        <v>0.41748894181694451</v>
      </c>
      <c r="R21" s="3">
        <f t="shared" si="13"/>
        <v>0.27015113350125947</v>
      </c>
      <c r="S21" s="3">
        <f t="shared" si="14"/>
        <v>1.6434634974533107</v>
      </c>
      <c r="V21">
        <v>2014</v>
      </c>
      <c r="W21" s="3">
        <f t="shared" si="15"/>
        <v>216.6927937971094</v>
      </c>
      <c r="X21" s="3">
        <f t="shared" si="15"/>
        <v>-341.92542106008472</v>
      </c>
      <c r="Y21" s="3">
        <f t="shared" si="16"/>
        <v>-104.39990325904238</v>
      </c>
      <c r="Z21" s="3">
        <f t="shared" si="17"/>
        <v>-77.489889111823146</v>
      </c>
    </row>
    <row r="22" spans="1:26" x14ac:dyDescent="0.25">
      <c r="A22">
        <v>2015</v>
      </c>
      <c r="B22" s="1">
        <f>28116+18534+3586+4204+3275+46+1917</f>
        <v>59678</v>
      </c>
      <c r="C22" s="1">
        <f>24406-1921</f>
        <v>22485</v>
      </c>
      <c r="D22" s="1">
        <f>19736-1089+2035+21</f>
        <v>20703</v>
      </c>
      <c r="E22" s="1">
        <f>4356-400</f>
        <v>3956</v>
      </c>
      <c r="H22">
        <v>2015</v>
      </c>
      <c r="I22" s="1">
        <v>93428</v>
      </c>
      <c r="J22" s="1">
        <v>13263</v>
      </c>
      <c r="K22" s="1">
        <v>14091</v>
      </c>
      <c r="L22" s="1">
        <v>6848</v>
      </c>
      <c r="O22">
        <v>2015</v>
      </c>
      <c r="P22" s="3">
        <f t="shared" si="11"/>
        <v>0.73191547006231372</v>
      </c>
      <c r="Q22" s="3">
        <f t="shared" si="12"/>
        <v>0.56577757685352625</v>
      </c>
      <c r="R22" s="3">
        <f t="shared" si="13"/>
        <v>0.74249231496807755</v>
      </c>
      <c r="S22" s="3">
        <f t="shared" si="14"/>
        <v>1.4296455424274974</v>
      </c>
      <c r="V22">
        <v>2015</v>
      </c>
      <c r="W22" s="3">
        <f t="shared" si="15"/>
        <v>237.44830412734808</v>
      </c>
      <c r="X22" s="3">
        <f t="shared" si="15"/>
        <v>-214.0254384784061</v>
      </c>
      <c r="Y22" s="3">
        <f t="shared" si="16"/>
        <v>-2.9269269265659688</v>
      </c>
      <c r="Z22" s="3">
        <f t="shared" si="17"/>
        <v>-15.224347033225566</v>
      </c>
    </row>
    <row r="23" spans="1:26" x14ac:dyDescent="0.25">
      <c r="A23">
        <v>2016</v>
      </c>
      <c r="B23" s="1">
        <f>31263+18532+3218+4610+4132+52+2469</f>
        <v>64276</v>
      </c>
      <c r="C23" s="1">
        <f>25244-2114</f>
        <v>23130</v>
      </c>
      <c r="D23" s="1">
        <f>19654-1156+64+1721</f>
        <v>20283</v>
      </c>
      <c r="E23" s="1">
        <f>5619-493</f>
        <v>5126</v>
      </c>
      <c r="H23">
        <v>2016</v>
      </c>
      <c r="I23" s="1">
        <v>105544</v>
      </c>
      <c r="J23" s="1">
        <v>14177</v>
      </c>
      <c r="K23" s="1">
        <v>21209</v>
      </c>
      <c r="L23" s="1">
        <v>5869</v>
      </c>
      <c r="O23">
        <v>2016</v>
      </c>
      <c r="P23" s="3">
        <f t="shared" si="11"/>
        <v>0.7422311435983866</v>
      </c>
      <c r="Q23" s="3">
        <f t="shared" si="12"/>
        <v>0.65875706214689267</v>
      </c>
      <c r="R23" s="3">
        <f>K11/D35</f>
        <v>0.59338726697150901</v>
      </c>
      <c r="S23" s="3">
        <f t="shared" si="14"/>
        <v>1.3310946944257891</v>
      </c>
      <c r="V23">
        <v>2016</v>
      </c>
      <c r="W23" s="3">
        <f t="shared" si="15"/>
        <v>294.48159955669718</v>
      </c>
      <c r="X23" s="3">
        <f>(J35*1000000000)/J47</f>
        <v>234.63665869300755</v>
      </c>
      <c r="Y23" s="3">
        <f t="shared" si="16"/>
        <v>35.086207766358982</v>
      </c>
      <c r="Z23" s="3">
        <f t="shared" si="17"/>
        <v>-19.034602362214454</v>
      </c>
    </row>
    <row r="24" spans="1:26" x14ac:dyDescent="0.25">
      <c r="A24">
        <v>2017</v>
      </c>
      <c r="B24" s="1">
        <f>36603+20446+2987+5260+5268+1320</f>
        <v>71884</v>
      </c>
      <c r="C24" s="1">
        <f>25893-2022</f>
        <v>23871</v>
      </c>
      <c r="D24" s="1">
        <f>21217+422+9-1351</f>
        <v>20297</v>
      </c>
      <c r="E24" s="1">
        <f>6921-516</f>
        <v>6405</v>
      </c>
      <c r="H24">
        <v>2017</v>
      </c>
      <c r="I24" s="1">
        <v>112130</v>
      </c>
      <c r="J24" s="1">
        <v>14815</v>
      </c>
      <c r="K24" s="1">
        <v>21630</v>
      </c>
      <c r="L24" s="1">
        <v>9244</v>
      </c>
      <c r="O24">
        <v>2017</v>
      </c>
      <c r="P24" s="3">
        <f t="shared" si="11"/>
        <v>0.76455744666040171</v>
      </c>
      <c r="Q24" s="3">
        <f t="shared" si="12"/>
        <v>0.67782026768642445</v>
      </c>
      <c r="R24" s="3">
        <f t="shared" si="13"/>
        <v>0.5510136257892988</v>
      </c>
      <c r="S24" s="3">
        <f t="shared" si="14"/>
        <v>1.2970639032815199</v>
      </c>
      <c r="V24">
        <v>2017</v>
      </c>
      <c r="W24" s="3">
        <f t="shared" si="15"/>
        <v>330.10567623418189</v>
      </c>
      <c r="X24" s="3">
        <f t="shared" si="15"/>
        <v>239.42140624282575</v>
      </c>
      <c r="Y24" s="3">
        <f t="shared" si="16"/>
        <v>35.086207766358982</v>
      </c>
      <c r="Z24" s="3">
        <f t="shared" si="17"/>
        <v>-29.140105541343505</v>
      </c>
    </row>
    <row r="25" spans="1:26" x14ac:dyDescent="0.25">
      <c r="A25">
        <v>2018</v>
      </c>
      <c r="B25" s="1">
        <f>43791+21406+4283+6137+4214+750</f>
        <v>80581</v>
      </c>
      <c r="C25" s="1">
        <f>23604-2238</f>
        <v>21366</v>
      </c>
      <c r="D25" s="1">
        <f>25710+16+422-1037</f>
        <v>25111</v>
      </c>
      <c r="E25" s="1">
        <f>8136-552</f>
        <v>7584</v>
      </c>
      <c r="H25">
        <v>2018</v>
      </c>
      <c r="I25" s="1">
        <v>117303</v>
      </c>
      <c r="J25" s="1">
        <v>12136</v>
      </c>
      <c r="K25" s="1">
        <v>18343</v>
      </c>
      <c r="L25" s="1">
        <v>12448</v>
      </c>
      <c r="O25">
        <v>2018</v>
      </c>
      <c r="P25" s="3">
        <f>I13/B37</f>
        <v>0.74668896449647271</v>
      </c>
      <c r="Q25" s="3">
        <f t="shared" si="12"/>
        <v>0.2736124634858812</v>
      </c>
      <c r="R25" s="3">
        <f>K13/D37</f>
        <v>1.5976945244956773</v>
      </c>
      <c r="S25" s="3">
        <f t="shared" si="14"/>
        <v>1.2636103151862463</v>
      </c>
      <c r="V25">
        <v>2018</v>
      </c>
      <c r="W25" s="3">
        <f t="shared" si="15"/>
        <v>272.34399679281961</v>
      </c>
      <c r="X25" s="3">
        <f t="shared" si="15"/>
        <v>-383.6999477450359</v>
      </c>
      <c r="Y25" s="3">
        <f t="shared" si="16"/>
        <v>-308.38437546111783</v>
      </c>
      <c r="Z25" s="3">
        <f t="shared" si="17"/>
        <v>-20.75800791822402</v>
      </c>
    </row>
    <row r="28" spans="1:26" x14ac:dyDescent="0.25">
      <c r="B28" s="7" t="s">
        <v>11</v>
      </c>
      <c r="C28" s="7"/>
      <c r="D28" s="7"/>
      <c r="E28" s="7"/>
      <c r="I28" s="7" t="s">
        <v>9</v>
      </c>
      <c r="J28" s="7"/>
      <c r="K28" s="7"/>
      <c r="L28" s="7"/>
      <c r="P28" s="7" t="s">
        <v>14</v>
      </c>
      <c r="Q28" s="7"/>
      <c r="R28" s="7"/>
      <c r="S28" s="7"/>
      <c r="W28" s="7" t="s">
        <v>19</v>
      </c>
      <c r="X28" s="7"/>
      <c r="Y28" s="7"/>
      <c r="Z28" s="7"/>
    </row>
    <row r="29" spans="1:26" x14ac:dyDescent="0.25">
      <c r="B29" t="s">
        <v>0</v>
      </c>
      <c r="C29" t="s">
        <v>1</v>
      </c>
      <c r="D29" t="s">
        <v>2</v>
      </c>
      <c r="E29" t="s">
        <v>3</v>
      </c>
      <c r="I29" t="s">
        <v>0</v>
      </c>
      <c r="J29" t="s">
        <v>1</v>
      </c>
      <c r="K29" t="s">
        <v>2</v>
      </c>
      <c r="L29" t="s">
        <v>3</v>
      </c>
      <c r="P29" t="s">
        <v>0</v>
      </c>
      <c r="Q29" t="s">
        <v>1</v>
      </c>
      <c r="R29" t="s">
        <v>2</v>
      </c>
      <c r="S29" t="s">
        <v>3</v>
      </c>
      <c r="W29" t="s">
        <v>0</v>
      </c>
      <c r="X29" t="s">
        <v>1</v>
      </c>
      <c r="Y29" t="s">
        <v>2</v>
      </c>
      <c r="Z29" t="s">
        <v>3</v>
      </c>
    </row>
    <row r="30" spans="1:26" x14ac:dyDescent="0.25">
      <c r="A30">
        <v>2011</v>
      </c>
      <c r="B30" s="2">
        <f>B6-B18</f>
        <v>30513</v>
      </c>
      <c r="C30" s="2">
        <f>C6-C18</f>
        <v>5167</v>
      </c>
      <c r="D30" s="2">
        <f>D6-D18</f>
        <v>5643</v>
      </c>
      <c r="E30" s="2">
        <f>E6-E18</f>
        <v>-1883</v>
      </c>
      <c r="H30">
        <v>2011</v>
      </c>
      <c r="I30" s="1">
        <v>15470</v>
      </c>
      <c r="J30" s="1">
        <v>1066</v>
      </c>
      <c r="K30" s="1">
        <v>2830</v>
      </c>
      <c r="L30" s="1">
        <v>-2400</v>
      </c>
      <c r="O30">
        <v>2011</v>
      </c>
      <c r="P30" s="4">
        <f>B30/I18</f>
        <v>0.50036896738328329</v>
      </c>
      <c r="Q30" s="4">
        <f t="shared" ref="Q30:R37" si="18">C30/J18</f>
        <v>0.2723917971427065</v>
      </c>
      <c r="R30" s="4">
        <f t="shared" si="18"/>
        <v>0.41213847502191059</v>
      </c>
      <c r="S30" s="4">
        <f>E30/L18</f>
        <v>-0.57619339045287643</v>
      </c>
      <c r="V30">
        <v>2011</v>
      </c>
      <c r="W30" s="4">
        <v>1410</v>
      </c>
      <c r="X30" s="4">
        <v>5650</v>
      </c>
      <c r="Y30" s="4">
        <v>4525</v>
      </c>
      <c r="Z30" s="4">
        <v>50</v>
      </c>
    </row>
    <row r="31" spans="1:26" x14ac:dyDescent="0.25">
      <c r="A31">
        <v>2012</v>
      </c>
      <c r="B31" s="2">
        <f t="shared" ref="B31:E37" si="19">B7-B19</f>
        <v>35484</v>
      </c>
      <c r="C31" s="2">
        <f t="shared" si="19"/>
        <v>5844</v>
      </c>
      <c r="D31" s="2">
        <f t="shared" si="19"/>
        <v>5293</v>
      </c>
      <c r="E31" s="2">
        <f t="shared" si="19"/>
        <v>-1299</v>
      </c>
      <c r="H31">
        <v>2012</v>
      </c>
      <c r="I31" s="1">
        <v>18362</v>
      </c>
      <c r="J31" s="1">
        <v>487</v>
      </c>
      <c r="K31" s="1">
        <v>2764</v>
      </c>
      <c r="L31" s="1">
        <v>-1563</v>
      </c>
      <c r="O31">
        <v>2012</v>
      </c>
      <c r="P31" s="4">
        <f t="shared" ref="P31:P37" si="20">B31/I19</f>
        <v>0.52978589984771118</v>
      </c>
      <c r="Q31" s="4">
        <f t="shared" si="18"/>
        <v>0.30131477184841454</v>
      </c>
      <c r="R31" s="4">
        <f t="shared" si="18"/>
        <v>0.34437215354586859</v>
      </c>
      <c r="S31" s="4">
        <f t="shared" ref="S31:S37" si="21">E31/L19</f>
        <v>-0.26063402889245585</v>
      </c>
      <c r="V31">
        <v>2012</v>
      </c>
      <c r="W31" s="4">
        <v>1810</v>
      </c>
      <c r="X31" s="4">
        <v>6450</v>
      </c>
      <c r="Y31" s="4">
        <v>5550</v>
      </c>
      <c r="Z31" s="4">
        <v>84</v>
      </c>
    </row>
    <row r="32" spans="1:26" x14ac:dyDescent="0.25">
      <c r="A32">
        <v>2013</v>
      </c>
      <c r="B32" s="2">
        <f t="shared" si="19"/>
        <v>37579</v>
      </c>
      <c r="C32" s="2">
        <f t="shared" si="19"/>
        <v>3601</v>
      </c>
      <c r="D32" s="2">
        <f t="shared" si="19"/>
        <v>2596</v>
      </c>
      <c r="E32" s="2">
        <f t="shared" si="19"/>
        <v>-1241</v>
      </c>
      <c r="H32">
        <v>2013</v>
      </c>
      <c r="I32" s="1">
        <v>20290</v>
      </c>
      <c r="J32" s="1">
        <v>-2666</v>
      </c>
      <c r="K32" s="1">
        <v>1032</v>
      </c>
      <c r="L32" s="1">
        <v>-2534</v>
      </c>
      <c r="O32">
        <v>2013</v>
      </c>
      <c r="P32" s="4">
        <f>B32/I20</f>
        <v>0.48536629468898534</v>
      </c>
      <c r="Q32" s="4">
        <f t="shared" si="18"/>
        <v>0.21801779984258643</v>
      </c>
      <c r="R32" s="4">
        <f t="shared" si="18"/>
        <v>0.1696732026143791</v>
      </c>
      <c r="S32" s="4">
        <f t="shared" si="21"/>
        <v>-0.40701869465398494</v>
      </c>
      <c r="V32">
        <v>2013</v>
      </c>
      <c r="W32" s="4">
        <v>2150</v>
      </c>
      <c r="X32" s="4">
        <v>4050</v>
      </c>
      <c r="Y32" s="4">
        <v>5200</v>
      </c>
      <c r="Z32" s="4">
        <v>91</v>
      </c>
    </row>
    <row r="33" spans="1:26" x14ac:dyDescent="0.25">
      <c r="A33">
        <v>2014</v>
      </c>
      <c r="B33" s="2">
        <f t="shared" si="19"/>
        <v>38993</v>
      </c>
      <c r="C33" s="2">
        <f t="shared" si="19"/>
        <v>2939</v>
      </c>
      <c r="D33" s="2">
        <f t="shared" si="19"/>
        <v>1588</v>
      </c>
      <c r="E33" s="2">
        <f t="shared" si="19"/>
        <v>-589</v>
      </c>
      <c r="H33">
        <v>2014</v>
      </c>
      <c r="I33" s="1">
        <v>21274</v>
      </c>
      <c r="J33" s="1">
        <v>-1858</v>
      </c>
      <c r="K33" s="1">
        <v>-891</v>
      </c>
      <c r="L33" s="1">
        <v>-1379</v>
      </c>
      <c r="O33">
        <v>2014</v>
      </c>
      <c r="P33" s="4">
        <f t="shared" si="20"/>
        <v>0.453449158061215</v>
      </c>
      <c r="Q33" s="4">
        <f t="shared" si="18"/>
        <v>0.20704473406128918</v>
      </c>
      <c r="R33" s="4">
        <f t="shared" si="18"/>
        <v>0.11375358166189112</v>
      </c>
      <c r="S33" s="4">
        <f t="shared" si="21"/>
        <v>-0.14869982327695028</v>
      </c>
      <c r="V33">
        <v>2014</v>
      </c>
      <c r="W33" s="4">
        <v>2865</v>
      </c>
      <c r="X33" s="4">
        <v>4150</v>
      </c>
      <c r="Y33" s="4">
        <v>4865</v>
      </c>
      <c r="Z33" s="4">
        <v>84</v>
      </c>
    </row>
    <row r="34" spans="1:26" x14ac:dyDescent="0.25">
      <c r="A34">
        <v>2015</v>
      </c>
      <c r="B34" s="2">
        <f t="shared" si="19"/>
        <v>44292</v>
      </c>
      <c r="C34" s="2">
        <f t="shared" si="19"/>
        <v>4424</v>
      </c>
      <c r="D34" s="2">
        <f t="shared" si="19"/>
        <v>4229</v>
      </c>
      <c r="E34" s="2">
        <f t="shared" si="19"/>
        <v>-931</v>
      </c>
      <c r="H34">
        <v>2015</v>
      </c>
      <c r="I34" s="1">
        <v>23317</v>
      </c>
      <c r="J34" s="1">
        <v>-1163</v>
      </c>
      <c r="K34" s="1">
        <v>-25</v>
      </c>
      <c r="L34" s="1">
        <v>-1565</v>
      </c>
      <c r="O34">
        <v>2015</v>
      </c>
      <c r="P34" s="4">
        <f t="shared" si="20"/>
        <v>0.47407629404461188</v>
      </c>
      <c r="Q34" s="4">
        <f t="shared" si="18"/>
        <v>0.33355952650229964</v>
      </c>
      <c r="R34" s="4">
        <f t="shared" si="18"/>
        <v>0.30012064438293945</v>
      </c>
      <c r="S34" s="4">
        <f t="shared" si="21"/>
        <v>-0.13595210280373832</v>
      </c>
      <c r="V34">
        <v>2015</v>
      </c>
      <c r="W34" s="4">
        <v>3105</v>
      </c>
      <c r="X34" s="4">
        <v>5500</v>
      </c>
      <c r="Y34" s="4">
        <v>3650</v>
      </c>
      <c r="Z34" s="4">
        <v>51</v>
      </c>
    </row>
    <row r="35" spans="1:26" x14ac:dyDescent="0.25">
      <c r="A35">
        <v>2016</v>
      </c>
      <c r="B35" s="2">
        <f t="shared" si="19"/>
        <v>52807</v>
      </c>
      <c r="C35" s="2">
        <f t="shared" si="19"/>
        <v>6195</v>
      </c>
      <c r="D35" s="2">
        <f t="shared" si="19"/>
        <v>2843</v>
      </c>
      <c r="E35" s="2">
        <f t="shared" si="19"/>
        <v>-1489</v>
      </c>
      <c r="H35">
        <v>2016</v>
      </c>
      <c r="I35" s="1">
        <v>29172</v>
      </c>
      <c r="J35" s="1">
        <v>1275</v>
      </c>
      <c r="K35" s="1">
        <v>375</v>
      </c>
      <c r="L35" s="1">
        <v>-1974</v>
      </c>
      <c r="O35">
        <v>2016</v>
      </c>
      <c r="P35" s="4">
        <f t="shared" si="20"/>
        <v>0.50033161525051162</v>
      </c>
      <c r="Q35" s="4">
        <f t="shared" si="18"/>
        <v>0.43697538266205826</v>
      </c>
      <c r="R35" s="4">
        <f t="shared" si="18"/>
        <v>0.13404686689612899</v>
      </c>
      <c r="S35" s="4">
        <f t="shared" si="21"/>
        <v>-0.25370591242119611</v>
      </c>
      <c r="V35">
        <v>2016</v>
      </c>
      <c r="W35" s="4">
        <v>3980</v>
      </c>
      <c r="X35" s="4">
        <v>6450</v>
      </c>
      <c r="Y35" s="4">
        <v>2310</v>
      </c>
      <c r="Z35" s="4">
        <v>53</v>
      </c>
    </row>
    <row r="36" spans="1:26" x14ac:dyDescent="0.25">
      <c r="A36">
        <v>2017</v>
      </c>
      <c r="B36" s="2">
        <f t="shared" si="19"/>
        <v>57462</v>
      </c>
      <c r="C36" s="2">
        <f t="shared" si="19"/>
        <v>6276</v>
      </c>
      <c r="D36" s="2">
        <f t="shared" si="19"/>
        <v>3009</v>
      </c>
      <c r="E36" s="2">
        <f t="shared" si="19"/>
        <v>-1737</v>
      </c>
      <c r="H36">
        <v>2017</v>
      </c>
      <c r="I36" s="1">
        <v>32701</v>
      </c>
      <c r="J36" s="1">
        <v>1301</v>
      </c>
      <c r="K36" s="1">
        <v>375</v>
      </c>
      <c r="L36" s="1">
        <v>-3022</v>
      </c>
      <c r="O36">
        <v>2017</v>
      </c>
      <c r="P36" s="4">
        <f t="shared" si="20"/>
        <v>0.51245875323285472</v>
      </c>
      <c r="Q36" s="4">
        <f t="shared" si="18"/>
        <v>0.42362470469119134</v>
      </c>
      <c r="R36" s="4">
        <f t="shared" si="18"/>
        <v>0.1391123439667129</v>
      </c>
      <c r="S36" s="4">
        <f t="shared" si="21"/>
        <v>-0.1879056685417568</v>
      </c>
      <c r="V36">
        <v>2017</v>
      </c>
      <c r="W36" s="4">
        <v>4440</v>
      </c>
      <c r="X36" s="4">
        <v>4800</v>
      </c>
      <c r="Y36" s="4">
        <v>2960</v>
      </c>
      <c r="Z36" s="4">
        <v>50</v>
      </c>
    </row>
    <row r="37" spans="1:26" x14ac:dyDescent="0.25">
      <c r="A37">
        <v>2018</v>
      </c>
      <c r="B37" s="2">
        <f t="shared" si="19"/>
        <v>52023</v>
      </c>
      <c r="C37" s="2">
        <f t="shared" si="19"/>
        <v>3081</v>
      </c>
      <c r="D37" s="2">
        <f t="shared" si="19"/>
        <v>-1735</v>
      </c>
      <c r="E37" s="2">
        <f t="shared" si="19"/>
        <v>-2094</v>
      </c>
      <c r="H37">
        <v>2018</v>
      </c>
      <c r="I37" s="1">
        <v>26979</v>
      </c>
      <c r="J37" s="1">
        <v>-2085</v>
      </c>
      <c r="K37" s="1">
        <v>-3296</v>
      </c>
      <c r="L37" s="1">
        <v>-3552</v>
      </c>
      <c r="O37">
        <v>2018</v>
      </c>
      <c r="P37" s="4">
        <f t="shared" si="20"/>
        <v>0.44349249379811256</v>
      </c>
      <c r="Q37" s="4">
        <f t="shared" si="18"/>
        <v>0.25387277521423862</v>
      </c>
      <c r="R37" s="4">
        <f t="shared" si="18"/>
        <v>-9.458649075941776E-2</v>
      </c>
      <c r="S37" s="4">
        <f t="shared" si="21"/>
        <v>-0.16821979434447301</v>
      </c>
      <c r="V37">
        <v>2018</v>
      </c>
      <c r="W37" s="4">
        <v>3750</v>
      </c>
      <c r="X37" s="4">
        <v>1685</v>
      </c>
      <c r="Y37" s="4">
        <v>2960</v>
      </c>
      <c r="Z37" s="4">
        <v>78</v>
      </c>
    </row>
    <row r="40" spans="1:26" x14ac:dyDescent="0.25">
      <c r="B40" s="7" t="s">
        <v>6</v>
      </c>
      <c r="C40" s="7"/>
      <c r="D40" s="7"/>
      <c r="E40" s="7"/>
      <c r="I40" s="7" t="s">
        <v>10</v>
      </c>
      <c r="J40" s="7"/>
      <c r="K40" s="7"/>
      <c r="L40" s="7"/>
      <c r="P40" s="7" t="s">
        <v>15</v>
      </c>
      <c r="Q40" s="7"/>
      <c r="R40" s="7"/>
      <c r="S40" s="7"/>
      <c r="W40" s="7" t="s">
        <v>20</v>
      </c>
      <c r="X40" s="7"/>
      <c r="Y40" s="7"/>
      <c r="Z40" s="7"/>
    </row>
    <row r="41" spans="1:26" x14ac:dyDescent="0.25">
      <c r="B41" t="s">
        <v>0</v>
      </c>
      <c r="C41" t="s">
        <v>1</v>
      </c>
      <c r="D41" t="s">
        <v>2</v>
      </c>
      <c r="E41" t="s">
        <v>3</v>
      </c>
      <c r="I41" t="s">
        <v>0</v>
      </c>
      <c r="J41" t="s">
        <v>1</v>
      </c>
      <c r="K41" t="s">
        <v>2</v>
      </c>
      <c r="L41" t="s">
        <v>3</v>
      </c>
      <c r="P41" t="s">
        <v>0</v>
      </c>
      <c r="Q41" t="s">
        <v>1</v>
      </c>
      <c r="R41" t="s">
        <v>2</v>
      </c>
      <c r="S41" t="s">
        <v>3</v>
      </c>
      <c r="W41" t="s">
        <v>0</v>
      </c>
      <c r="X41" t="s">
        <v>1</v>
      </c>
      <c r="Y41" t="s">
        <v>2</v>
      </c>
      <c r="Z41" t="s">
        <v>3</v>
      </c>
    </row>
    <row r="42" spans="1:26" x14ac:dyDescent="0.25">
      <c r="A42">
        <v>2011</v>
      </c>
      <c r="B42" s="1">
        <v>8555</v>
      </c>
      <c r="C42" s="1">
        <v>1912</v>
      </c>
      <c r="D42" s="1">
        <v>1199</v>
      </c>
      <c r="E42" s="1">
        <v>338</v>
      </c>
      <c r="H42">
        <v>2011</v>
      </c>
      <c r="I42" s="1">
        <v>96931696600</v>
      </c>
      <c r="J42" s="1">
        <v>5433933500</v>
      </c>
      <c r="K42" s="1">
        <v>8518566332</v>
      </c>
      <c r="L42" s="1">
        <v>118639000000</v>
      </c>
      <c r="O42">
        <v>2011</v>
      </c>
      <c r="P42" s="4">
        <f>P6+P18+P30</f>
        <v>4.7866828155034753</v>
      </c>
      <c r="Q42" s="4">
        <f t="shared" ref="Q42:S42" si="22">Q6+Q18+Q30</f>
        <v>3.6047570123441011</v>
      </c>
      <c r="R42" s="4">
        <f t="shared" si="22"/>
        <v>5.9060848598422693</v>
      </c>
      <c r="S42" s="4">
        <f t="shared" si="22"/>
        <v>-4.9676985110114718</v>
      </c>
      <c r="V42">
        <v>2011</v>
      </c>
      <c r="W42" s="1">
        <f>((W30*I42)-(I18*1000000000))/I42</f>
        <v>780.88690140599476</v>
      </c>
      <c r="X42" s="1">
        <f t="shared" ref="X42:Z42" si="23">((X30*J42)-(J18*1000000000))/J42</f>
        <v>2159.1586049037955</v>
      </c>
      <c r="Y42" s="1">
        <f t="shared" si="23"/>
        <v>2917.687282534152</v>
      </c>
      <c r="Z42" s="1">
        <f t="shared" si="23"/>
        <v>22.454251974477195</v>
      </c>
    </row>
    <row r="43" spans="1:26" x14ac:dyDescent="0.25">
      <c r="A43">
        <v>2012</v>
      </c>
      <c r="B43" s="1">
        <v>9786</v>
      </c>
      <c r="C43" s="1">
        <v>1427</v>
      </c>
      <c r="D43" s="1">
        <v>941</v>
      </c>
      <c r="E43" s="1">
        <v>303</v>
      </c>
      <c r="H43">
        <v>2012</v>
      </c>
      <c r="I43" s="1">
        <v>95745344100</v>
      </c>
      <c r="J43" s="1">
        <v>5433933500</v>
      </c>
      <c r="K43" s="1">
        <v>8526276611</v>
      </c>
      <c r="L43" s="1">
        <v>17795870091</v>
      </c>
      <c r="O43">
        <v>2012</v>
      </c>
      <c r="P43" s="4">
        <f t="shared" ref="P43:S49" si="24">P7+P19+P31</f>
        <v>4.8799959512548927</v>
      </c>
      <c r="Q43" s="4">
        <f t="shared" si="24"/>
        <v>5.1524375400899212</v>
      </c>
      <c r="R43" s="4">
        <f t="shared" si="24"/>
        <v>6.7914573399438805</v>
      </c>
      <c r="S43" s="4">
        <f t="shared" si="24"/>
        <v>-3.3145063907244827</v>
      </c>
      <c r="V43">
        <v>2012</v>
      </c>
      <c r="W43" s="1">
        <f>((W31*I43)-(I19*1000000000))/I43</f>
        <v>1110.4568459219731</v>
      </c>
      <c r="X43" s="1">
        <f t="shared" ref="X43:X49" si="25">((X31*J43)-(J19*1000000000))/J43</f>
        <v>2880.7623565875438</v>
      </c>
      <c r="Y43" s="1">
        <f t="shared" ref="Y43:Y49" si="26">((Y31*K43)-(K19*1000000000))/K43</f>
        <v>3747.3373957665517</v>
      </c>
      <c r="Z43" s="1">
        <f t="shared" ref="Z43:Z49" si="27">((Z31*L43)-(L19*1000000000))/L43</f>
        <v>-196.0649799371476</v>
      </c>
    </row>
    <row r="44" spans="1:26" x14ac:dyDescent="0.25">
      <c r="A44">
        <v>2013</v>
      </c>
      <c r="B44" s="1">
        <v>9733</v>
      </c>
      <c r="C44" s="1">
        <v>1727</v>
      </c>
      <c r="D44" s="1">
        <v>937</v>
      </c>
      <c r="E44" s="1">
        <v>370</v>
      </c>
      <c r="H44">
        <v>2013</v>
      </c>
      <c r="I44" s="1">
        <v>97100853600</v>
      </c>
      <c r="J44" s="1">
        <v>5433933500</v>
      </c>
      <c r="K44" s="1">
        <v>8534490667</v>
      </c>
      <c r="L44" s="1">
        <v>17795870091</v>
      </c>
      <c r="O44">
        <v>2013</v>
      </c>
      <c r="P44" s="4">
        <f t="shared" si="24"/>
        <v>5.0873536468886691</v>
      </c>
      <c r="Q44" s="4">
        <f t="shared" si="24"/>
        <v>2.8235474997409775</v>
      </c>
      <c r="R44" s="4">
        <f t="shared" si="24"/>
        <v>3.5792775853524557</v>
      </c>
      <c r="S44" s="4">
        <f t="shared" si="24"/>
        <v>-2.4629260927853958</v>
      </c>
      <c r="V44">
        <v>2013</v>
      </c>
      <c r="W44" s="1">
        <f t="shared" ref="W43:W49" si="28">((W32*I44)-(I20*1000000000))/I44</f>
        <v>1352.6434667717483</v>
      </c>
      <c r="X44" s="1">
        <f>((X32*J44)-(J20*1000000000))/J44</f>
        <v>1010.3971046020346</v>
      </c>
      <c r="Y44" s="1">
        <f t="shared" si="26"/>
        <v>3407.2743884810907</v>
      </c>
      <c r="Z44" s="1">
        <f t="shared" si="27"/>
        <v>-80.331886803443624</v>
      </c>
    </row>
    <row r="45" spans="1:26" x14ac:dyDescent="0.25">
      <c r="A45">
        <v>2014</v>
      </c>
      <c r="B45" s="1">
        <v>9787</v>
      </c>
      <c r="C45" s="1">
        <v>1712</v>
      </c>
      <c r="D45" s="1">
        <v>1159</v>
      </c>
      <c r="E45" s="1">
        <v>379</v>
      </c>
      <c r="H45">
        <v>2014</v>
      </c>
      <c r="I45" s="1">
        <v>98175853600</v>
      </c>
      <c r="J45" s="1">
        <v>5433933500</v>
      </c>
      <c r="K45" s="1">
        <v>8534490667</v>
      </c>
      <c r="L45" s="1">
        <v>17795870091</v>
      </c>
      <c r="O45">
        <v>2014</v>
      </c>
      <c r="P45" s="4">
        <f t="shared" si="24"/>
        <v>5.1866180547083642</v>
      </c>
      <c r="Q45" s="4">
        <f t="shared" si="24"/>
        <v>2.3412392833548696</v>
      </c>
      <c r="R45" s="4">
        <f t="shared" si="24"/>
        <v>1.7540513933339874</v>
      </c>
      <c r="S45" s="4">
        <f t="shared" si="24"/>
        <v>-5.9326035586172637E-2</v>
      </c>
      <c r="V45">
        <v>2014</v>
      </c>
      <c r="W45" s="1">
        <f t="shared" si="28"/>
        <v>1989.1023444485743</v>
      </c>
      <c r="X45" s="1">
        <f t="shared" si="25"/>
        <v>1537.7118665511825</v>
      </c>
      <c r="Y45" s="1">
        <f t="shared" si="26"/>
        <v>3229.28434399974</v>
      </c>
      <c r="Z45" s="1">
        <f t="shared" si="27"/>
        <v>-138.57973224940642</v>
      </c>
    </row>
    <row r="46" spans="1:26" x14ac:dyDescent="0.25">
      <c r="A46">
        <v>2015</v>
      </c>
      <c r="B46" s="1">
        <v>11874</v>
      </c>
      <c r="C46" s="1">
        <v>1921</v>
      </c>
      <c r="D46" s="1">
        <v>1089</v>
      </c>
      <c r="E46" s="1">
        <v>400</v>
      </c>
      <c r="H46">
        <v>2015</v>
      </c>
      <c r="I46" s="1">
        <v>98198216600</v>
      </c>
      <c r="J46" s="1">
        <v>5433933500</v>
      </c>
      <c r="K46" s="1">
        <v>8541381670</v>
      </c>
      <c r="L46" s="1">
        <v>102795870101</v>
      </c>
      <c r="O46">
        <v>2015</v>
      </c>
      <c r="P46" s="4">
        <f t="shared" si="24"/>
        <v>4.9361585149912104</v>
      </c>
      <c r="Q46" s="4">
        <f t="shared" si="24"/>
        <v>3.2023043079367737</v>
      </c>
      <c r="R46" s="4">
        <f t="shared" si="24"/>
        <v>4.9259922063666277</v>
      </c>
      <c r="S46" s="4">
        <f t="shared" si="24"/>
        <v>-1.033806560376241</v>
      </c>
      <c r="V46">
        <v>2015</v>
      </c>
      <c r="W46" s="1">
        <f t="shared" si="28"/>
        <v>2153.5774259977752</v>
      </c>
      <c r="X46" s="1">
        <f t="shared" si="25"/>
        <v>3059.2266633369732</v>
      </c>
      <c r="Y46" s="1">
        <f t="shared" si="26"/>
        <v>2000.2669071103576</v>
      </c>
      <c r="Z46" s="1">
        <f t="shared" si="27"/>
        <v>-15.61746228979468</v>
      </c>
    </row>
    <row r="47" spans="1:26" x14ac:dyDescent="0.25">
      <c r="A47">
        <v>2016</v>
      </c>
      <c r="B47" s="1">
        <v>13612</v>
      </c>
      <c r="C47" s="1">
        <v>2114</v>
      </c>
      <c r="D47" s="1">
        <v>1156</v>
      </c>
      <c r="E47" s="1">
        <v>493</v>
      </c>
      <c r="H47">
        <v>2016</v>
      </c>
      <c r="I47" s="5">
        <v>99062216600</v>
      </c>
      <c r="J47" s="1">
        <v>5433933500</v>
      </c>
      <c r="K47" s="1">
        <v>10687960423</v>
      </c>
      <c r="L47" s="1">
        <v>103705870101</v>
      </c>
      <c r="O47">
        <v>2016</v>
      </c>
      <c r="P47" s="4">
        <f t="shared" si="24"/>
        <v>5.1220073665479875</v>
      </c>
      <c r="Q47" s="4">
        <f t="shared" si="24"/>
        <v>4.0261960209678911</v>
      </c>
      <c r="R47" s="4">
        <f t="shared" si="24"/>
        <v>3.1867766944212708</v>
      </c>
      <c r="S47" s="4">
        <f t="shared" si="24"/>
        <v>-1.9428951936546359</v>
      </c>
      <c r="V47">
        <v>2016</v>
      </c>
      <c r="W47" s="1">
        <f t="shared" si="28"/>
        <v>2914.568560825036</v>
      </c>
      <c r="X47" s="1">
        <f t="shared" si="25"/>
        <v>3841.024384085672</v>
      </c>
      <c r="Y47" s="1">
        <f t="shared" si="26"/>
        <v>325.61765195544643</v>
      </c>
      <c r="Z47" s="1">
        <f t="shared" si="27"/>
        <v>-3.5927463342637465</v>
      </c>
    </row>
    <row r="48" spans="1:26" x14ac:dyDescent="0.25">
      <c r="A48">
        <v>2017</v>
      </c>
      <c r="B48" s="1">
        <v>13529</v>
      </c>
      <c r="C48" s="1">
        <v>2022</v>
      </c>
      <c r="D48" s="1">
        <v>1351</v>
      </c>
      <c r="E48" s="1">
        <v>516</v>
      </c>
      <c r="H48">
        <v>2017</v>
      </c>
      <c r="I48" s="5">
        <v>99062216600</v>
      </c>
      <c r="J48" s="1">
        <v>5433933500</v>
      </c>
      <c r="K48" s="1">
        <v>10687960423</v>
      </c>
      <c r="L48" s="1">
        <v>103705870101</v>
      </c>
      <c r="O48">
        <v>2017</v>
      </c>
      <c r="P48" s="4">
        <f t="shared" si="24"/>
        <v>5.5243367705193185</v>
      </c>
      <c r="Q48" s="4">
        <f t="shared" si="24"/>
        <v>4.2053025391431937</v>
      </c>
      <c r="R48" s="4">
        <f t="shared" si="24"/>
        <v>2.9173650519173737</v>
      </c>
      <c r="S48" s="4">
        <f t="shared" si="24"/>
        <v>-2.257120835027679</v>
      </c>
      <c r="V48">
        <v>2017</v>
      </c>
      <c r="W48" s="1">
        <f t="shared" si="28"/>
        <v>3308.0850898706822</v>
      </c>
      <c r="X48" s="1">
        <f t="shared" si="25"/>
        <v>2073.6140403632103</v>
      </c>
      <c r="Y48" s="1">
        <f t="shared" si="26"/>
        <v>936.22753603641411</v>
      </c>
      <c r="Z48" s="1">
        <f t="shared" si="27"/>
        <v>-39.136709339569613</v>
      </c>
    </row>
    <row r="49" spans="1:26" x14ac:dyDescent="0.25">
      <c r="A49">
        <v>2018</v>
      </c>
      <c r="B49" s="1">
        <v>13178</v>
      </c>
      <c r="C49" s="1">
        <v>2238</v>
      </c>
      <c r="D49" s="1">
        <v>1037</v>
      </c>
      <c r="E49" s="1">
        <v>552</v>
      </c>
      <c r="H49">
        <v>2018</v>
      </c>
      <c r="I49" s="5">
        <v>99062216600</v>
      </c>
      <c r="J49" s="1">
        <v>5433933500</v>
      </c>
      <c r="K49" s="1">
        <v>10687960423</v>
      </c>
      <c r="L49" s="1">
        <v>171114685667</v>
      </c>
      <c r="O49">
        <v>2018</v>
      </c>
      <c r="P49" s="4">
        <f t="shared" si="24"/>
        <v>5.1378973484144819</v>
      </c>
      <c r="Q49" s="4">
        <f t="shared" si="24"/>
        <v>1.904160841917278</v>
      </c>
      <c r="R49" s="4">
        <f t="shared" si="24"/>
        <v>-0.16998743395901522</v>
      </c>
      <c r="S49" s="4">
        <f t="shared" si="24"/>
        <v>-2.6980877400277921</v>
      </c>
      <c r="V49">
        <v>2018</v>
      </c>
      <c r="W49" s="1">
        <f t="shared" si="28"/>
        <v>2565.8653821198668</v>
      </c>
      <c r="X49" s="1">
        <f t="shared" si="25"/>
        <v>-548.37293325359985</v>
      </c>
      <c r="Y49" s="1">
        <f t="shared" si="26"/>
        <v>1243.7698425111394</v>
      </c>
      <c r="Z49" s="1">
        <f t="shared" si="27"/>
        <v>5.2534677460437544</v>
      </c>
    </row>
    <row r="50" spans="1:26" x14ac:dyDescent="0.25">
      <c r="I50" s="5"/>
    </row>
  </sheetData>
  <mergeCells count="16">
    <mergeCell ref="W40:Z40"/>
    <mergeCell ref="P40:S40"/>
    <mergeCell ref="B4:E4"/>
    <mergeCell ref="B16:E16"/>
    <mergeCell ref="B28:E28"/>
    <mergeCell ref="B40:E40"/>
    <mergeCell ref="I4:L4"/>
    <mergeCell ref="I16:L16"/>
    <mergeCell ref="I28:L28"/>
    <mergeCell ref="I40:L40"/>
    <mergeCell ref="W4:Z4"/>
    <mergeCell ref="W16:Z16"/>
    <mergeCell ref="P4:S4"/>
    <mergeCell ref="P16:S16"/>
    <mergeCell ref="P28:S28"/>
    <mergeCell ref="W28:Z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B45E-C4CF-4DD9-8D7D-9FBBD26B45E0}">
  <dimension ref="B3:C34"/>
  <sheetViews>
    <sheetView topLeftCell="A13" workbookViewId="0">
      <selection activeCell="C3" sqref="C3:C34"/>
    </sheetView>
  </sheetViews>
  <sheetFormatPr defaultRowHeight="15" x14ac:dyDescent="0.25"/>
  <cols>
    <col min="3" max="3" width="10.28515625" bestFit="1" customWidth="1"/>
  </cols>
  <sheetData>
    <row r="3" spans="2:3" x14ac:dyDescent="0.25">
      <c r="B3">
        <v>2011</v>
      </c>
      <c r="C3" s="6">
        <v>159.59691765056758</v>
      </c>
    </row>
    <row r="4" spans="2:3" x14ac:dyDescent="0.25">
      <c r="B4">
        <v>2012</v>
      </c>
      <c r="C4" s="6">
        <v>191.7795603807329</v>
      </c>
    </row>
    <row r="5" spans="2:3" x14ac:dyDescent="0.25">
      <c r="B5">
        <v>2013</v>
      </c>
      <c r="C5" s="6">
        <v>208.95799828478542</v>
      </c>
    </row>
    <row r="6" spans="2:3" x14ac:dyDescent="0.25">
      <c r="B6">
        <v>2014</v>
      </c>
      <c r="C6" s="6">
        <v>216.6927937971094</v>
      </c>
    </row>
    <row r="7" spans="2:3" x14ac:dyDescent="0.25">
      <c r="B7">
        <v>2015</v>
      </c>
      <c r="C7" s="6">
        <v>237.44830412734808</v>
      </c>
    </row>
    <row r="8" spans="2:3" x14ac:dyDescent="0.25">
      <c r="B8">
        <v>2016</v>
      </c>
      <c r="C8" s="6">
        <v>294.48159955669718</v>
      </c>
    </row>
    <row r="9" spans="2:3" x14ac:dyDescent="0.25">
      <c r="B9">
        <v>2017</v>
      </c>
      <c r="C9" s="6">
        <v>330.10567623418189</v>
      </c>
    </row>
    <row r="10" spans="2:3" x14ac:dyDescent="0.25">
      <c r="B10">
        <v>2018</v>
      </c>
      <c r="C10" s="6">
        <v>272.34399679281961</v>
      </c>
    </row>
    <row r="11" spans="2:3" x14ac:dyDescent="0.25">
      <c r="B11">
        <v>2011</v>
      </c>
      <c r="C11" s="6">
        <v>196.17464954254592</v>
      </c>
    </row>
    <row r="12" spans="2:3" x14ac:dyDescent="0.25">
      <c r="B12">
        <v>2012</v>
      </c>
      <c r="C12" s="6">
        <v>89.622002183133091</v>
      </c>
    </row>
    <row r="13" spans="2:3" x14ac:dyDescent="0.25">
      <c r="B13">
        <v>2013</v>
      </c>
      <c r="C13" s="6">
        <v>-490.62065260828092</v>
      </c>
    </row>
    <row r="14" spans="2:3" x14ac:dyDescent="0.25">
      <c r="B14">
        <v>2014</v>
      </c>
      <c r="C14" s="6">
        <v>-341.92542106008472</v>
      </c>
    </row>
    <row r="15" spans="2:3" x14ac:dyDescent="0.25">
      <c r="B15">
        <v>2015</v>
      </c>
      <c r="C15" s="6">
        <v>-214.0254384784061</v>
      </c>
    </row>
    <row r="16" spans="2:3" x14ac:dyDescent="0.25">
      <c r="B16">
        <v>2016</v>
      </c>
      <c r="C16" s="6">
        <v>234.63665869300755</v>
      </c>
    </row>
    <row r="17" spans="2:3" x14ac:dyDescent="0.25">
      <c r="B17">
        <v>2017</v>
      </c>
      <c r="C17" s="6">
        <v>239.42140624282575</v>
      </c>
    </row>
    <row r="18" spans="2:3" x14ac:dyDescent="0.25">
      <c r="B18">
        <v>2018</v>
      </c>
      <c r="C18" s="6">
        <v>-383.6999477450359</v>
      </c>
    </row>
    <row r="19" spans="2:3" x14ac:dyDescent="0.25">
      <c r="B19">
        <v>2011</v>
      </c>
      <c r="C19" s="6">
        <v>332.21552661615175</v>
      </c>
    </row>
    <row r="20" spans="2:3" x14ac:dyDescent="0.25">
      <c r="B20">
        <v>2012</v>
      </c>
      <c r="C20" s="6">
        <v>324.17432908921609</v>
      </c>
    </row>
    <row r="21" spans="2:3" x14ac:dyDescent="0.25">
      <c r="B21">
        <v>2013</v>
      </c>
      <c r="C21" s="6">
        <v>120.92110007107938</v>
      </c>
    </row>
    <row r="22" spans="2:3" x14ac:dyDescent="0.25">
      <c r="B22">
        <v>2014</v>
      </c>
      <c r="C22" s="6">
        <v>-104.39990325904238</v>
      </c>
    </row>
    <row r="23" spans="2:3" x14ac:dyDescent="0.25">
      <c r="B23">
        <v>2015</v>
      </c>
      <c r="C23" s="6">
        <v>-2.9269269265659688</v>
      </c>
    </row>
    <row r="24" spans="2:3" x14ac:dyDescent="0.25">
      <c r="B24">
        <v>2016</v>
      </c>
      <c r="C24" s="6">
        <v>35.086207766358982</v>
      </c>
    </row>
    <row r="25" spans="2:3" x14ac:dyDescent="0.25">
      <c r="B25">
        <v>2017</v>
      </c>
      <c r="C25" s="6">
        <v>35.086207766358982</v>
      </c>
    </row>
    <row r="26" spans="2:3" x14ac:dyDescent="0.25">
      <c r="B26">
        <v>2018</v>
      </c>
      <c r="C26" s="6">
        <v>-308.38437546111783</v>
      </c>
    </row>
    <row r="27" spans="2:3" x14ac:dyDescent="0.25">
      <c r="B27">
        <v>2011</v>
      </c>
      <c r="C27" s="6">
        <v>-20.229435514459833</v>
      </c>
    </row>
    <row r="28" spans="2:3" x14ac:dyDescent="0.25">
      <c r="B28">
        <v>2012</v>
      </c>
      <c r="C28" s="6">
        <v>-87.829366701798094</v>
      </c>
    </row>
    <row r="29" spans="2:3" x14ac:dyDescent="0.25">
      <c r="B29">
        <v>2013</v>
      </c>
      <c r="C29" s="6">
        <v>-142.39258811411156</v>
      </c>
    </row>
    <row r="30" spans="2:3" x14ac:dyDescent="0.25">
      <c r="B30">
        <v>2014</v>
      </c>
      <c r="C30" s="6">
        <v>-77.489889111823146</v>
      </c>
    </row>
    <row r="31" spans="2:3" x14ac:dyDescent="0.25">
      <c r="B31">
        <v>2015</v>
      </c>
      <c r="C31" s="6">
        <v>-15.224347033225566</v>
      </c>
    </row>
    <row r="32" spans="2:3" x14ac:dyDescent="0.25">
      <c r="B32">
        <v>2016</v>
      </c>
      <c r="C32" s="6">
        <v>-19.034602362214454</v>
      </c>
    </row>
    <row r="33" spans="2:3" x14ac:dyDescent="0.25">
      <c r="B33">
        <v>2017</v>
      </c>
      <c r="C33" s="6">
        <v>-29.140105541343505</v>
      </c>
    </row>
    <row r="34" spans="2:3" x14ac:dyDescent="0.25">
      <c r="B34">
        <v>2018</v>
      </c>
      <c r="C34" s="6">
        <v>-20.75800791822402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9A4A-E20D-47E5-9E1B-F271A683A358}">
  <dimension ref="B3:C34"/>
  <sheetViews>
    <sheetView workbookViewId="0">
      <selection activeCell="G12" sqref="G12"/>
    </sheetView>
  </sheetViews>
  <sheetFormatPr defaultRowHeight="15" x14ac:dyDescent="0.25"/>
  <sheetData>
    <row r="3" spans="2:3" x14ac:dyDescent="0.25">
      <c r="B3">
        <v>2011</v>
      </c>
      <c r="C3" s="4">
        <v>780.88690140599476</v>
      </c>
    </row>
    <row r="4" spans="2:3" x14ac:dyDescent="0.25">
      <c r="B4">
        <v>2012</v>
      </c>
      <c r="C4" s="4">
        <v>1110.4568459219731</v>
      </c>
    </row>
    <row r="5" spans="2:3" x14ac:dyDescent="0.25">
      <c r="B5">
        <v>2013</v>
      </c>
      <c r="C5" s="4">
        <v>1352.6434667717483</v>
      </c>
    </row>
    <row r="6" spans="2:3" x14ac:dyDescent="0.25">
      <c r="B6">
        <v>2014</v>
      </c>
      <c r="C6" s="4">
        <v>1989.1023444485743</v>
      </c>
    </row>
    <row r="7" spans="2:3" x14ac:dyDescent="0.25">
      <c r="B7">
        <v>2015</v>
      </c>
      <c r="C7" s="4">
        <v>2153.5774259977752</v>
      </c>
    </row>
    <row r="8" spans="2:3" x14ac:dyDescent="0.25">
      <c r="B8">
        <v>2016</v>
      </c>
      <c r="C8" s="4">
        <v>2914.568560825036</v>
      </c>
    </row>
    <row r="9" spans="2:3" x14ac:dyDescent="0.25">
      <c r="B9">
        <v>2017</v>
      </c>
      <c r="C9" s="4">
        <v>3308.0850898706822</v>
      </c>
    </row>
    <row r="10" spans="2:3" x14ac:dyDescent="0.25">
      <c r="B10">
        <v>2018</v>
      </c>
      <c r="C10" s="4">
        <v>2565.8653821198668</v>
      </c>
    </row>
    <row r="11" spans="2:3" x14ac:dyDescent="0.25">
      <c r="B11">
        <v>2011</v>
      </c>
      <c r="C11" s="4">
        <v>2159.1586049037955</v>
      </c>
    </row>
    <row r="12" spans="2:3" x14ac:dyDescent="0.25">
      <c r="B12">
        <v>2012</v>
      </c>
      <c r="C12" s="4">
        <v>2880.7623565875438</v>
      </c>
    </row>
    <row r="13" spans="2:3" x14ac:dyDescent="0.25">
      <c r="B13">
        <v>2013</v>
      </c>
      <c r="C13" s="4">
        <v>1010.3971046020346</v>
      </c>
    </row>
    <row r="14" spans="2:3" x14ac:dyDescent="0.25">
      <c r="B14">
        <v>2014</v>
      </c>
      <c r="C14" s="4">
        <v>1537.7118665511825</v>
      </c>
    </row>
    <row r="15" spans="2:3" x14ac:dyDescent="0.25">
      <c r="B15">
        <v>2015</v>
      </c>
      <c r="C15" s="4">
        <v>3059.2266633369732</v>
      </c>
    </row>
    <row r="16" spans="2:3" x14ac:dyDescent="0.25">
      <c r="B16">
        <v>2016</v>
      </c>
      <c r="C16" s="4">
        <v>3841.024384085672</v>
      </c>
    </row>
    <row r="17" spans="2:3" x14ac:dyDescent="0.25">
      <c r="B17">
        <v>2017</v>
      </c>
      <c r="C17" s="4">
        <v>2073.6140403632103</v>
      </c>
    </row>
    <row r="18" spans="2:3" x14ac:dyDescent="0.25">
      <c r="B18">
        <v>2018</v>
      </c>
      <c r="C18" s="4">
        <v>-548.37293325359985</v>
      </c>
    </row>
    <row r="19" spans="2:3" x14ac:dyDescent="0.25">
      <c r="B19">
        <v>2011</v>
      </c>
      <c r="C19" s="4">
        <v>2917.687282534152</v>
      </c>
    </row>
    <row r="20" spans="2:3" x14ac:dyDescent="0.25">
      <c r="B20">
        <v>2012</v>
      </c>
      <c r="C20" s="4">
        <v>3747.3373957665517</v>
      </c>
    </row>
    <row r="21" spans="2:3" x14ac:dyDescent="0.25">
      <c r="B21">
        <v>2013</v>
      </c>
      <c r="C21" s="4">
        <v>3407.2743884810907</v>
      </c>
    </row>
    <row r="22" spans="2:3" x14ac:dyDescent="0.25">
      <c r="B22">
        <v>2014</v>
      </c>
      <c r="C22" s="4">
        <v>3229.28434399974</v>
      </c>
    </row>
    <row r="23" spans="2:3" x14ac:dyDescent="0.25">
      <c r="B23">
        <v>2015</v>
      </c>
      <c r="C23" s="4">
        <v>2000.2669071103576</v>
      </c>
    </row>
    <row r="24" spans="2:3" x14ac:dyDescent="0.25">
      <c r="B24">
        <v>2016</v>
      </c>
      <c r="C24" s="4">
        <v>325.61765195544643</v>
      </c>
    </row>
    <row r="25" spans="2:3" x14ac:dyDescent="0.25">
      <c r="B25">
        <v>2017</v>
      </c>
      <c r="C25" s="4">
        <v>936.22753603641411</v>
      </c>
    </row>
    <row r="26" spans="2:3" x14ac:dyDescent="0.25">
      <c r="B26">
        <v>2018</v>
      </c>
      <c r="C26" s="4">
        <v>1243.7698425111394</v>
      </c>
    </row>
    <row r="27" spans="2:3" x14ac:dyDescent="0.25">
      <c r="B27">
        <v>2011</v>
      </c>
      <c r="C27" s="4">
        <v>22.454251974477195</v>
      </c>
    </row>
    <row r="28" spans="2:3" x14ac:dyDescent="0.25">
      <c r="B28">
        <v>2012</v>
      </c>
      <c r="C28" s="4">
        <v>-196.0649799371476</v>
      </c>
    </row>
    <row r="29" spans="2:3" x14ac:dyDescent="0.25">
      <c r="B29">
        <v>2013</v>
      </c>
      <c r="C29" s="4">
        <v>-80.331886803443624</v>
      </c>
    </row>
    <row r="30" spans="2:3" x14ac:dyDescent="0.25">
      <c r="B30">
        <v>2014</v>
      </c>
      <c r="C30" s="4">
        <v>-138.57973224940642</v>
      </c>
    </row>
    <row r="31" spans="2:3" x14ac:dyDescent="0.25">
      <c r="B31">
        <v>2015</v>
      </c>
      <c r="C31" s="4">
        <v>-15.61746228979468</v>
      </c>
    </row>
    <row r="32" spans="2:3" x14ac:dyDescent="0.25">
      <c r="B32">
        <v>2016</v>
      </c>
      <c r="C32" s="4">
        <v>-3.5927463342637465</v>
      </c>
    </row>
    <row r="33" spans="2:3" x14ac:dyDescent="0.25">
      <c r="B33">
        <v>2017</v>
      </c>
      <c r="C33" s="4">
        <v>-39.136709339569613</v>
      </c>
    </row>
    <row r="34" spans="2:3" x14ac:dyDescent="0.25">
      <c r="B34">
        <v>2018</v>
      </c>
      <c r="C34" s="4">
        <v>5.2534677460437544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C5BE-579E-4CBA-9ABC-7AEEA34D6013}">
  <dimension ref="B3:C34"/>
  <sheetViews>
    <sheetView topLeftCell="A13" workbookViewId="0">
      <selection activeCell="C3" sqref="C3:C34"/>
    </sheetView>
  </sheetViews>
  <sheetFormatPr defaultRowHeight="15" x14ac:dyDescent="0.25"/>
  <sheetData>
    <row r="3" spans="2:3" x14ac:dyDescent="0.25">
      <c r="B3">
        <v>2011</v>
      </c>
      <c r="C3" s="6">
        <v>4.7866828155034753</v>
      </c>
    </row>
    <row r="4" spans="2:3" x14ac:dyDescent="0.25">
      <c r="B4">
        <v>2012</v>
      </c>
      <c r="C4" s="6">
        <v>4.8799959512548927</v>
      </c>
    </row>
    <row r="5" spans="2:3" x14ac:dyDescent="0.25">
      <c r="B5">
        <v>2013</v>
      </c>
      <c r="C5" s="6">
        <v>5.0873536468886691</v>
      </c>
    </row>
    <row r="6" spans="2:3" x14ac:dyDescent="0.25">
      <c r="B6">
        <v>2014</v>
      </c>
      <c r="C6" s="6">
        <v>5.1866180547083642</v>
      </c>
    </row>
    <row r="7" spans="2:3" x14ac:dyDescent="0.25">
      <c r="B7">
        <v>2015</v>
      </c>
      <c r="C7" s="6">
        <v>4.9361585149912104</v>
      </c>
    </row>
    <row r="8" spans="2:3" x14ac:dyDescent="0.25">
      <c r="B8">
        <v>2016</v>
      </c>
      <c r="C8" s="6">
        <v>5.1220073665479875</v>
      </c>
    </row>
    <row r="9" spans="2:3" x14ac:dyDescent="0.25">
      <c r="B9">
        <v>2017</v>
      </c>
      <c r="C9" s="6">
        <v>5.5243367705193185</v>
      </c>
    </row>
    <row r="10" spans="2:3" x14ac:dyDescent="0.25">
      <c r="B10">
        <v>2018</v>
      </c>
      <c r="C10" s="6">
        <v>5.1378973484144819</v>
      </c>
    </row>
    <row r="11" spans="2:3" x14ac:dyDescent="0.25">
      <c r="B11">
        <v>2011</v>
      </c>
      <c r="C11" s="6">
        <v>3.6047570123441011</v>
      </c>
    </row>
    <row r="12" spans="2:3" x14ac:dyDescent="0.25">
      <c r="B12">
        <v>2012</v>
      </c>
      <c r="C12" s="6">
        <v>5.1524375400899212</v>
      </c>
    </row>
    <row r="13" spans="2:3" x14ac:dyDescent="0.25">
      <c r="B13">
        <v>2013</v>
      </c>
      <c r="C13" s="6">
        <v>2.8235474997409775</v>
      </c>
    </row>
    <row r="14" spans="2:3" x14ac:dyDescent="0.25">
      <c r="B14">
        <v>2014</v>
      </c>
      <c r="C14" s="6">
        <v>2.3412392833548696</v>
      </c>
    </row>
    <row r="15" spans="2:3" x14ac:dyDescent="0.25">
      <c r="B15">
        <v>2015</v>
      </c>
      <c r="C15" s="6">
        <v>3.2023043079367737</v>
      </c>
    </row>
    <row r="16" spans="2:3" x14ac:dyDescent="0.25">
      <c r="B16">
        <v>2016</v>
      </c>
      <c r="C16" s="6">
        <v>4.0261960209678911</v>
      </c>
    </row>
    <row r="17" spans="2:3" x14ac:dyDescent="0.25">
      <c r="B17">
        <v>2017</v>
      </c>
      <c r="C17" s="6">
        <v>4.2053025391431937</v>
      </c>
    </row>
    <row r="18" spans="2:3" x14ac:dyDescent="0.25">
      <c r="B18">
        <v>2018</v>
      </c>
      <c r="C18" s="6">
        <v>1.904160841917278</v>
      </c>
    </row>
    <row r="19" spans="2:3" x14ac:dyDescent="0.25">
      <c r="B19">
        <v>2011</v>
      </c>
      <c r="C19" s="6">
        <v>5.9060848598422693</v>
      </c>
    </row>
    <row r="20" spans="2:3" x14ac:dyDescent="0.25">
      <c r="B20">
        <v>2012</v>
      </c>
      <c r="C20" s="6">
        <v>6.7914573399438805</v>
      </c>
    </row>
    <row r="21" spans="2:3" x14ac:dyDescent="0.25">
      <c r="B21">
        <v>2013</v>
      </c>
      <c r="C21" s="6">
        <v>3.5792775853524557</v>
      </c>
    </row>
    <row r="22" spans="2:3" x14ac:dyDescent="0.25">
      <c r="B22">
        <v>2014</v>
      </c>
      <c r="C22" s="6">
        <v>1.7540513933339874</v>
      </c>
    </row>
    <row r="23" spans="2:3" x14ac:dyDescent="0.25">
      <c r="B23">
        <v>2015</v>
      </c>
      <c r="C23" s="6">
        <v>4.9259922063666277</v>
      </c>
    </row>
    <row r="24" spans="2:3" x14ac:dyDescent="0.25">
      <c r="B24">
        <v>2016</v>
      </c>
      <c r="C24" s="6">
        <v>3.1867766944212708</v>
      </c>
    </row>
    <row r="25" spans="2:3" x14ac:dyDescent="0.25">
      <c r="B25">
        <v>2017</v>
      </c>
      <c r="C25" s="6">
        <v>2.9173650519173737</v>
      </c>
    </row>
    <row r="26" spans="2:3" x14ac:dyDescent="0.25">
      <c r="B26">
        <v>2018</v>
      </c>
      <c r="C26" s="6">
        <v>-0.16998743395901522</v>
      </c>
    </row>
    <row r="27" spans="2:3" x14ac:dyDescent="0.25">
      <c r="B27">
        <v>2011</v>
      </c>
      <c r="C27" s="6">
        <v>-4.9676985110114718</v>
      </c>
    </row>
    <row r="28" spans="2:3" x14ac:dyDescent="0.25">
      <c r="B28">
        <v>2012</v>
      </c>
      <c r="C28" s="6">
        <v>-3.3145063907244827</v>
      </c>
    </row>
    <row r="29" spans="2:3" x14ac:dyDescent="0.25">
      <c r="B29">
        <v>2013</v>
      </c>
      <c r="C29" s="6">
        <v>-2.4629260927853958</v>
      </c>
    </row>
    <row r="30" spans="2:3" x14ac:dyDescent="0.25">
      <c r="B30">
        <v>2014</v>
      </c>
      <c r="C30" s="6">
        <v>-5.9326035586172637E-2</v>
      </c>
    </row>
    <row r="31" spans="2:3" x14ac:dyDescent="0.25">
      <c r="B31">
        <v>2015</v>
      </c>
      <c r="C31" s="6">
        <v>-1.033806560376241</v>
      </c>
    </row>
    <row r="32" spans="2:3" x14ac:dyDescent="0.25">
      <c r="B32">
        <v>2016</v>
      </c>
      <c r="C32" s="6">
        <v>-1.9428951936546359</v>
      </c>
    </row>
    <row r="33" spans="2:3" x14ac:dyDescent="0.25">
      <c r="B33">
        <v>2017</v>
      </c>
      <c r="C33" s="6">
        <v>-2.257120835027679</v>
      </c>
    </row>
    <row r="34" spans="2:3" x14ac:dyDescent="0.25">
      <c r="B34">
        <v>2018</v>
      </c>
      <c r="C34" s="6">
        <v>-2.6980877400277921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9E8A-7264-4C4B-8C3C-94A187EAC91C}">
  <dimension ref="B3:C34"/>
  <sheetViews>
    <sheetView topLeftCell="A13" workbookViewId="0">
      <selection activeCell="C3" sqref="C3:C34"/>
    </sheetView>
  </sheetViews>
  <sheetFormatPr defaultRowHeight="15" x14ac:dyDescent="0.25"/>
  <sheetData>
    <row r="3" spans="2:3" x14ac:dyDescent="0.25">
      <c r="B3">
        <v>2011</v>
      </c>
      <c r="C3" s="6">
        <v>0.25368557419524113</v>
      </c>
    </row>
    <row r="4" spans="2:3" x14ac:dyDescent="0.25">
      <c r="B4">
        <v>2012</v>
      </c>
      <c r="C4" s="6">
        <v>0.27414972080384603</v>
      </c>
    </row>
    <row r="5" spans="2:3" x14ac:dyDescent="0.25">
      <c r="B5">
        <v>2013</v>
      </c>
      <c r="C5" s="6">
        <v>0.26206344286009509</v>
      </c>
    </row>
    <row r="6" spans="2:3" x14ac:dyDescent="0.25">
      <c r="B6">
        <v>2014</v>
      </c>
      <c r="C6" s="6">
        <v>0.2473951065215369</v>
      </c>
    </row>
    <row r="7" spans="2:3" x14ac:dyDescent="0.25">
      <c r="B7">
        <v>2015</v>
      </c>
      <c r="C7" s="6">
        <v>0.24957186282484908</v>
      </c>
    </row>
    <row r="8" spans="2:3" x14ac:dyDescent="0.25">
      <c r="B8">
        <v>2016</v>
      </c>
      <c r="C8" s="6">
        <v>0.27639657394072614</v>
      </c>
    </row>
    <row r="9" spans="2:3" x14ac:dyDescent="0.25">
      <c r="B9">
        <v>2017</v>
      </c>
      <c r="C9" s="6">
        <v>0.2916347097119415</v>
      </c>
    </row>
    <row r="10" spans="2:3" x14ac:dyDescent="0.25">
      <c r="B10">
        <v>2018</v>
      </c>
      <c r="C10" s="6">
        <v>0.22999411779749879</v>
      </c>
    </row>
    <row r="11" spans="2:3" x14ac:dyDescent="0.25">
      <c r="B11">
        <v>2011</v>
      </c>
      <c r="C11" s="6">
        <v>5.619695292319047E-2</v>
      </c>
    </row>
    <row r="12" spans="2:3" x14ac:dyDescent="0.25">
      <c r="B12">
        <v>2012</v>
      </c>
      <c r="C12" s="6">
        <v>2.5109564320701213E-2</v>
      </c>
    </row>
    <row r="13" spans="2:3" x14ac:dyDescent="0.25">
      <c r="B13">
        <v>2013</v>
      </c>
      <c r="C13" s="6">
        <v>-0.16140945692317007</v>
      </c>
    </row>
    <row r="14" spans="2:3" x14ac:dyDescent="0.25">
      <c r="B14">
        <v>2014</v>
      </c>
      <c r="C14" s="6">
        <v>-0.13089115885875308</v>
      </c>
    </row>
    <row r="15" spans="2:3" x14ac:dyDescent="0.25">
      <c r="B15">
        <v>2015</v>
      </c>
      <c r="C15" s="6">
        <v>-8.768755183593456E-2</v>
      </c>
    </row>
    <row r="16" spans="2:3" x14ac:dyDescent="0.25">
      <c r="B16">
        <v>2016</v>
      </c>
      <c r="C16" s="6">
        <v>8.9934400790011998E-2</v>
      </c>
    </row>
    <row r="17" spans="2:3" x14ac:dyDescent="0.25">
      <c r="B17">
        <v>2017</v>
      </c>
      <c r="C17" s="6">
        <v>8.7816402294971313E-2</v>
      </c>
    </row>
    <row r="18" spans="2:3" x14ac:dyDescent="0.25">
      <c r="B18">
        <v>2018</v>
      </c>
      <c r="C18" s="6">
        <v>-0.17180290046143704</v>
      </c>
    </row>
    <row r="19" spans="2:3" x14ac:dyDescent="0.25">
      <c r="B19">
        <v>2011</v>
      </c>
      <c r="C19" s="6">
        <v>0.20669003797838154</v>
      </c>
    </row>
    <row r="20" spans="2:3" x14ac:dyDescent="0.25">
      <c r="B20">
        <v>2012</v>
      </c>
      <c r="C20" s="6">
        <v>0.17983083929733246</v>
      </c>
    </row>
    <row r="21" spans="2:3" x14ac:dyDescent="0.25">
      <c r="B21">
        <v>2013</v>
      </c>
      <c r="C21" s="6">
        <v>6.7450980392156856E-2</v>
      </c>
    </row>
    <row r="22" spans="2:3" x14ac:dyDescent="0.25">
      <c r="B22">
        <v>2014</v>
      </c>
      <c r="C22" s="6">
        <v>-6.3825214899713462E-2</v>
      </c>
    </row>
    <row r="23" spans="2:3" x14ac:dyDescent="0.25">
      <c r="B23">
        <v>2015</v>
      </c>
      <c r="C23" s="6">
        <v>-1.7741821020509545E-3</v>
      </c>
    </row>
    <row r="24" spans="2:3" x14ac:dyDescent="0.25">
      <c r="B24">
        <v>2016</v>
      </c>
      <c r="C24" s="6">
        <v>1.7681173086897071E-2</v>
      </c>
    </row>
    <row r="25" spans="2:3" x14ac:dyDescent="0.25">
      <c r="B25">
        <v>2017</v>
      </c>
      <c r="C25" s="6">
        <v>1.7337031900138695E-2</v>
      </c>
    </row>
    <row r="26" spans="2:3" x14ac:dyDescent="0.25">
      <c r="B26">
        <v>2018</v>
      </c>
      <c r="C26" s="6">
        <v>-0.17968707408820803</v>
      </c>
    </row>
    <row r="27" spans="2:3" x14ac:dyDescent="0.25">
      <c r="B27">
        <v>2011</v>
      </c>
      <c r="C27" s="6">
        <v>-0.73439412484700117</v>
      </c>
    </row>
    <row r="28" spans="2:3" x14ac:dyDescent="0.25">
      <c r="B28">
        <v>2012</v>
      </c>
      <c r="C28" s="6">
        <v>-0.3136035313001605</v>
      </c>
    </row>
    <row r="29" spans="2:3" x14ac:dyDescent="0.25">
      <c r="B29">
        <v>2013</v>
      </c>
      <c r="C29" s="6">
        <v>-0.8310921613643818</v>
      </c>
    </row>
    <row r="30" spans="2:3" x14ac:dyDescent="0.25">
      <c r="B30">
        <v>2014</v>
      </c>
      <c r="C30" s="6">
        <v>-0.3481444079777834</v>
      </c>
    </row>
    <row r="31" spans="2:3" x14ac:dyDescent="0.25">
      <c r="B31">
        <v>2015</v>
      </c>
      <c r="C31" s="6">
        <v>-0.22853387850467291</v>
      </c>
    </row>
    <row r="32" spans="2:3" x14ac:dyDescent="0.25">
      <c r="B32">
        <v>2016</v>
      </c>
      <c r="C32" s="6">
        <v>-0.33634349974441985</v>
      </c>
    </row>
    <row r="33" spans="2:3" x14ac:dyDescent="0.25">
      <c r="B33">
        <v>2017</v>
      </c>
      <c r="C33" s="6">
        <v>-0.32691475551709215</v>
      </c>
    </row>
    <row r="34" spans="2:3" x14ac:dyDescent="0.25">
      <c r="B34">
        <v>2018</v>
      </c>
      <c r="C34" s="6">
        <v>-0.28534704370179947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EPS</vt:lpstr>
      <vt:lpstr>MVA PER SHARE</vt:lpstr>
      <vt:lpstr>VAIC</vt:lpstr>
      <vt:lpstr>ROE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2020-01-27T07:49:03Z</dcterms:modified>
</cp:coreProperties>
</file>